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3920" windowHeight="7440" activeTab="0"/>
  </bookViews>
  <sheets>
    <sheet name="1-終結(1)" sheetId="1" r:id="rId1"/>
    <sheet name="1-終結 (2)" sheetId="2" r:id="rId2"/>
    <sheet name="2-終結明細" sheetId="3" r:id="rId3"/>
    <sheet name="2-終結明細-101" sheetId="4" state="hidden" r:id="rId4"/>
    <sheet name="3-判決確定(1)" sheetId="5" r:id="rId5"/>
    <sheet name="3-判決確定 (2)" sheetId="6" r:id="rId6"/>
    <sheet name="4-判決明細" sheetId="7" r:id="rId7"/>
    <sheet name="4-判決明細-101" sheetId="8" state="hidden" r:id="rId8"/>
    <sheet name="附表五-歷年貪瀆" sheetId="9" r:id="rId9"/>
    <sheet name="附表六-(貪瀆) " sheetId="10" r:id="rId10"/>
  </sheets>
  <definedNames>
    <definedName name="_xlnm.Print_Area" localSheetId="1">'1-終結 (2)'!$A$1:$M$107</definedName>
    <definedName name="_xlnm.Print_Area" localSheetId="0">'1-終結(1)'!$A$1:$M$118</definedName>
    <definedName name="_xlnm.Print_Area" localSheetId="3">'2-終結明細-101'!$A$1:$P$40</definedName>
    <definedName name="_xlnm.Print_Area" localSheetId="5">'3-判決確定 (2)'!$A$1:$S$136</definedName>
    <definedName name="_xlnm.Print_Area" localSheetId="4">'3-判決確定(1)'!$A$1:$S$107</definedName>
    <definedName name="_xlnm.Print_Area" localSheetId="6">'4-判決明細'!$A$1:$T$36</definedName>
    <definedName name="_xlnm.Print_Area" localSheetId="7">'4-判決明細-101'!$A$1:$Q$45</definedName>
    <definedName name="_xlnm.Print_Area" localSheetId="8">'附表五-歷年貪瀆'!$A$1:$S$59</definedName>
    <definedName name="_xlnm.Print_Area" localSheetId="9">'附表六-(貪瀆) '!$A$1:$Q$41</definedName>
    <definedName name="_xlnm.Print_Titles" localSheetId="2">'2-終結明細'!$1:$7</definedName>
    <definedName name="_xlnm.Print_Titles" localSheetId="6">'4-判決明細'!$1:$7</definedName>
  </definedNames>
  <calcPr fullCalcOnLoad="1"/>
</workbook>
</file>

<file path=xl/comments2.xml><?xml version="1.0" encoding="utf-8"?>
<comments xmlns="http://schemas.openxmlformats.org/spreadsheetml/2006/main">
  <authors>
    <author>潘怡靜</author>
  </authors>
  <commentList>
    <comment ref="B27" authorId="0">
      <text>
        <r>
          <rPr>
            <sz val="9"/>
            <rFont val="Tahoma"/>
            <family val="2"/>
          </rPr>
          <t>108</t>
        </r>
        <r>
          <rPr>
            <sz val="9"/>
            <rFont val="細明體"/>
            <family val="3"/>
          </rPr>
          <t>年</t>
        </r>
        <r>
          <rPr>
            <sz val="9"/>
            <rFont val="Tahoma"/>
            <family val="2"/>
          </rPr>
          <t>1</t>
        </r>
        <r>
          <rPr>
            <sz val="9"/>
            <rFont val="細明體"/>
            <family val="3"/>
          </rPr>
          <t>月</t>
        </r>
        <r>
          <rPr>
            <sz val="9"/>
            <rFont val="Tahoma"/>
            <family val="2"/>
          </rPr>
          <t>16</t>
        </r>
        <r>
          <rPr>
            <sz val="9"/>
            <rFont val="細明體"/>
            <family val="3"/>
          </rPr>
          <t>日修正公布名稱</t>
        </r>
        <r>
          <rPr>
            <sz val="9"/>
            <rFont val="Tahoma"/>
            <family val="2"/>
          </rPr>
          <t xml:space="preserve">
</t>
        </r>
        <r>
          <rPr>
            <sz val="9"/>
            <rFont val="細明體"/>
            <family val="3"/>
          </rPr>
          <t>原名稱：毒性化學物質管理法
新名稱：毒性及關注化學物質管理法</t>
        </r>
      </text>
    </comment>
  </commentList>
</comments>
</file>

<file path=xl/comments3.xml><?xml version="1.0" encoding="utf-8"?>
<comments xmlns="http://schemas.openxmlformats.org/spreadsheetml/2006/main">
  <authors>
    <author>潘怡靜</author>
  </authors>
  <commentList>
    <comment ref="A39" authorId="0">
      <text>
        <r>
          <rPr>
            <sz val="9"/>
            <rFont val="Tahoma"/>
            <family val="2"/>
          </rPr>
          <t>108</t>
        </r>
        <r>
          <rPr>
            <sz val="9"/>
            <rFont val="細明體"/>
            <family val="3"/>
          </rPr>
          <t>年</t>
        </r>
        <r>
          <rPr>
            <sz val="9"/>
            <rFont val="Tahoma"/>
            <family val="2"/>
          </rPr>
          <t>1</t>
        </r>
        <r>
          <rPr>
            <sz val="9"/>
            <rFont val="細明體"/>
            <family val="3"/>
          </rPr>
          <t>月</t>
        </r>
        <r>
          <rPr>
            <sz val="9"/>
            <rFont val="Tahoma"/>
            <family val="2"/>
          </rPr>
          <t>16</t>
        </r>
        <r>
          <rPr>
            <sz val="9"/>
            <rFont val="細明體"/>
            <family val="3"/>
          </rPr>
          <t>日修正公布名稱
原名稱：毒性化學物質管理法
新名稱：毒性及關注化學物質管理法</t>
        </r>
      </text>
    </comment>
  </commentList>
</comments>
</file>

<file path=xl/comments4.xml><?xml version="1.0" encoding="utf-8"?>
<comments xmlns="http://schemas.openxmlformats.org/spreadsheetml/2006/main">
  <authors>
    <author>潘怡靜</author>
  </authors>
  <commentList>
    <comment ref="A32" authorId="0">
      <text>
        <r>
          <rPr>
            <sz val="9"/>
            <rFont val="Tahoma"/>
            <family val="2"/>
          </rPr>
          <t>108</t>
        </r>
        <r>
          <rPr>
            <sz val="9"/>
            <rFont val="細明體"/>
            <family val="3"/>
          </rPr>
          <t>年</t>
        </r>
        <r>
          <rPr>
            <sz val="9"/>
            <rFont val="Tahoma"/>
            <family val="2"/>
          </rPr>
          <t>1</t>
        </r>
        <r>
          <rPr>
            <sz val="9"/>
            <rFont val="細明體"/>
            <family val="3"/>
          </rPr>
          <t>月</t>
        </r>
        <r>
          <rPr>
            <sz val="9"/>
            <rFont val="Tahoma"/>
            <family val="2"/>
          </rPr>
          <t>16</t>
        </r>
        <r>
          <rPr>
            <sz val="9"/>
            <rFont val="細明體"/>
            <family val="3"/>
          </rPr>
          <t>日修正公布名稱
原名稱：毒性化學物質管理法
新名稱：毒性及關注化學物質管理法</t>
        </r>
      </text>
    </comment>
  </commentList>
</comments>
</file>

<file path=xl/comments6.xml><?xml version="1.0" encoding="utf-8"?>
<comments xmlns="http://schemas.openxmlformats.org/spreadsheetml/2006/main">
  <authors>
    <author>潘怡靜</author>
  </authors>
  <commentList>
    <comment ref="B36" authorId="0">
      <text>
        <r>
          <rPr>
            <sz val="9"/>
            <rFont val="Tahoma"/>
            <family val="2"/>
          </rPr>
          <t>108</t>
        </r>
        <r>
          <rPr>
            <sz val="9"/>
            <rFont val="細明體"/>
            <family val="3"/>
          </rPr>
          <t>年</t>
        </r>
        <r>
          <rPr>
            <sz val="9"/>
            <rFont val="Tahoma"/>
            <family val="2"/>
          </rPr>
          <t>1</t>
        </r>
        <r>
          <rPr>
            <sz val="9"/>
            <rFont val="細明體"/>
            <family val="3"/>
          </rPr>
          <t>月</t>
        </r>
        <r>
          <rPr>
            <sz val="9"/>
            <rFont val="Tahoma"/>
            <family val="2"/>
          </rPr>
          <t>16</t>
        </r>
        <r>
          <rPr>
            <sz val="9"/>
            <rFont val="細明體"/>
            <family val="3"/>
          </rPr>
          <t>日修正公布名稱
原名稱：毒性化學物質管理法
新名稱：毒性及關注化學物質管理法</t>
        </r>
        <r>
          <rPr>
            <sz val="9"/>
            <rFont val="Tahoma"/>
            <family val="2"/>
          </rPr>
          <t xml:space="preserve">
</t>
        </r>
      </text>
    </comment>
  </commentList>
</comments>
</file>

<file path=xl/sharedStrings.xml><?xml version="1.0" encoding="utf-8"?>
<sst xmlns="http://schemas.openxmlformats.org/spreadsheetml/2006/main" count="1276" uniqueCount="463">
  <si>
    <t>總</t>
  </si>
  <si>
    <t>起</t>
  </si>
  <si>
    <t>不</t>
  </si>
  <si>
    <t>其</t>
  </si>
  <si>
    <t>總        計</t>
  </si>
  <si>
    <t>起        訴</t>
  </si>
  <si>
    <t>不    起    訴</t>
  </si>
  <si>
    <t>其        他</t>
  </si>
  <si>
    <t>計</t>
  </si>
  <si>
    <t>起訴</t>
  </si>
  <si>
    <t>他</t>
  </si>
  <si>
    <t>自然人</t>
  </si>
  <si>
    <t>法   人</t>
  </si>
  <si>
    <t xml:space="preserve">空氣污染防制法                      </t>
  </si>
  <si>
    <t xml:space="preserve">水污染防治法                       </t>
  </si>
  <si>
    <t xml:space="preserve">環境影響評估法                    </t>
  </si>
  <si>
    <t xml:space="preserve">飲用水管理條例                     </t>
  </si>
  <si>
    <t xml:space="preserve">  16條(污染水源水質或禁止作為水源或供人飲用而不遵行)</t>
  </si>
  <si>
    <t>緩起訴</t>
  </si>
  <si>
    <t>緩起訴處分</t>
  </si>
  <si>
    <t>訴</t>
  </si>
  <si>
    <t>處分</t>
  </si>
  <si>
    <t xml:space="preserve">廢棄物清理法                       </t>
  </si>
  <si>
    <t>土壤及地下水污染整治法</t>
  </si>
  <si>
    <t xml:space="preserve">  29條(嚴重污染環境或為虛記載者)  </t>
  </si>
  <si>
    <t>環境用藥管理法</t>
  </si>
  <si>
    <t>海洋污染防治法</t>
  </si>
  <si>
    <t>資源回收再利用法</t>
  </si>
  <si>
    <t>件</t>
  </si>
  <si>
    <t>被</t>
  </si>
  <si>
    <t xml:space="preserve"> </t>
  </si>
  <si>
    <t>數</t>
  </si>
  <si>
    <t>免</t>
  </si>
  <si>
    <t>無</t>
  </si>
  <si>
    <t>二</t>
  </si>
  <si>
    <t>逾</t>
  </si>
  <si>
    <t>拘</t>
  </si>
  <si>
    <t>罰</t>
  </si>
  <si>
    <t>死</t>
  </si>
  <si>
    <t>月</t>
  </si>
  <si>
    <t>六</t>
  </si>
  <si>
    <t>年</t>
  </si>
  <si>
    <t>以</t>
  </si>
  <si>
    <t>期</t>
  </si>
  <si>
    <t>受</t>
  </si>
  <si>
    <t>上</t>
  </si>
  <si>
    <t>未</t>
  </si>
  <si>
    <t>徒</t>
  </si>
  <si>
    <t>滿</t>
  </si>
  <si>
    <t>下</t>
  </si>
  <si>
    <t>役</t>
  </si>
  <si>
    <t>金</t>
  </si>
  <si>
    <t>刑</t>
  </si>
  <si>
    <t>罪</t>
  </si>
  <si>
    <t>訴</t>
  </si>
  <si>
    <t>理</t>
  </si>
  <si>
    <t>刑</t>
  </si>
  <si>
    <t>三</t>
  </si>
  <si>
    <t>二</t>
  </si>
  <si>
    <t>未</t>
  </si>
  <si>
    <t xml:space="preserve">廢棄物清理法                       </t>
  </si>
  <si>
    <t>土壤及地下水污染整治法</t>
  </si>
  <si>
    <t>環境用藥管理法</t>
  </si>
  <si>
    <t>資源回收再利用法</t>
  </si>
  <si>
    <t>空氣污染防制法</t>
  </si>
  <si>
    <t xml:space="preserve">    民國八十九年  </t>
  </si>
  <si>
    <t>水污染防治法</t>
  </si>
  <si>
    <t>廢棄物清理法</t>
  </si>
  <si>
    <t>環境影響評估法</t>
  </si>
  <si>
    <t>飲用水管理條例</t>
  </si>
  <si>
    <t>土壤及地下水污染整治法</t>
  </si>
  <si>
    <t>-</t>
  </si>
  <si>
    <t>環境用藥管理法</t>
  </si>
  <si>
    <t>資源回收再利用法</t>
  </si>
  <si>
    <t>三</t>
  </si>
  <si>
    <t>總          計</t>
  </si>
  <si>
    <t>普通行政人員</t>
  </si>
  <si>
    <t>金融及財務人員</t>
  </si>
  <si>
    <t>稅  務  人  員</t>
  </si>
  <si>
    <t>關  務  人  員</t>
  </si>
  <si>
    <t>公營事業  人員</t>
  </si>
  <si>
    <t>地  政  人  員</t>
  </si>
  <si>
    <t>司  法  人  員</t>
  </si>
  <si>
    <t>警  察  人  員</t>
  </si>
  <si>
    <t>交  通  人  員</t>
  </si>
  <si>
    <t>人事行政  人員</t>
  </si>
  <si>
    <t>建設及工程人員</t>
  </si>
  <si>
    <t>主計審計  人員</t>
  </si>
  <si>
    <t>兵役行政  人員</t>
  </si>
  <si>
    <t>水  利  人  員</t>
  </si>
  <si>
    <t>林  務  人  員</t>
  </si>
  <si>
    <t>環  保  人  員</t>
  </si>
  <si>
    <t>民  意  代  表</t>
  </si>
  <si>
    <t>其          他</t>
  </si>
  <si>
    <t>三</t>
  </si>
  <si>
    <t>三</t>
  </si>
  <si>
    <t>刑</t>
  </si>
  <si>
    <t xml:space="preserve">    民國八十九年七至十二月</t>
  </si>
  <si>
    <t>罪</t>
  </si>
  <si>
    <t>二</t>
  </si>
  <si>
    <t>未</t>
  </si>
  <si>
    <t xml:space="preserve">    民國九  十  年</t>
  </si>
  <si>
    <t>-</t>
  </si>
  <si>
    <t xml:space="preserve">    民國九  十  年七至十二月</t>
  </si>
  <si>
    <t>罪</t>
  </si>
  <si>
    <t>二</t>
  </si>
  <si>
    <t>未</t>
  </si>
  <si>
    <t>率</t>
  </si>
  <si>
    <t>刑</t>
  </si>
  <si>
    <t>三</t>
  </si>
  <si>
    <t>有</t>
  </si>
  <si>
    <t>期</t>
  </si>
  <si>
    <t>徒</t>
  </si>
  <si>
    <t>二</t>
  </si>
  <si>
    <t>政風人員</t>
  </si>
  <si>
    <t>教育行政人員</t>
  </si>
  <si>
    <t>醫政人員</t>
  </si>
  <si>
    <t>殥葬人員</t>
  </si>
  <si>
    <t>消防人員</t>
  </si>
  <si>
    <t>法務人員</t>
  </si>
  <si>
    <t>單位︰件、人</t>
  </si>
  <si>
    <t>緩起訴處分</t>
  </si>
  <si>
    <t>總計(1)</t>
  </si>
  <si>
    <t>起訴(2)</t>
  </si>
  <si>
    <t xml:space="preserve">(3)=(2)/(1)×100 </t>
  </si>
  <si>
    <t xml:space="preserve">    民國八十四年  </t>
  </si>
  <si>
    <t>…</t>
  </si>
  <si>
    <t xml:space="preserve">    民國八十一年  </t>
  </si>
  <si>
    <t xml:space="preserve"> 終      結      件      數  </t>
  </si>
  <si>
    <t xml:space="preserve">  終  結  案  件  中  人  數    </t>
  </si>
  <si>
    <t xml:space="preserve">起訴率(％) </t>
  </si>
  <si>
    <t>總計</t>
  </si>
  <si>
    <t>起訴</t>
  </si>
  <si>
    <t>不起訴</t>
  </si>
  <si>
    <t>其他</t>
  </si>
  <si>
    <t xml:space="preserve"> </t>
  </si>
  <si>
    <t>水污染防治法</t>
  </si>
  <si>
    <t>廢棄物清理法</t>
  </si>
  <si>
    <t>說　　明︰1.終結案件之件數、人數皆包含其中之法人；「起訴」含「聲請簡易判決處刑」。</t>
  </si>
  <si>
    <t>資源回收再利用法</t>
  </si>
  <si>
    <t>環境影響評估法</t>
  </si>
  <si>
    <t>飲用水管理條例</t>
  </si>
  <si>
    <t>土壤及地下水污染整治法</t>
  </si>
  <si>
    <t>-</t>
  </si>
  <si>
    <t>環境用藥管理法</t>
  </si>
  <si>
    <t>刑</t>
  </si>
  <si>
    <t>環保人員</t>
  </si>
  <si>
    <t>告</t>
  </si>
  <si>
    <t>告</t>
  </si>
  <si>
    <t xml:space="preserve">    民國85年  </t>
  </si>
  <si>
    <t xml:space="preserve">    民國86年  </t>
  </si>
  <si>
    <t xml:space="preserve">    民國84年  </t>
  </si>
  <si>
    <t xml:space="preserve">    民國87年  </t>
  </si>
  <si>
    <t xml:space="preserve">    民國88年  </t>
  </si>
  <si>
    <t xml:space="preserve">    民國89年</t>
  </si>
  <si>
    <t xml:space="preserve">    民國90年</t>
  </si>
  <si>
    <t xml:space="preserve">    民國91年</t>
  </si>
  <si>
    <t xml:space="preserve">    民國92年</t>
  </si>
  <si>
    <t xml:space="preserve">    民國93年</t>
  </si>
  <si>
    <t xml:space="preserve">    民國81年  </t>
  </si>
  <si>
    <t xml:space="preserve">    民國82年  </t>
  </si>
  <si>
    <t xml:space="preserve">    民國83年</t>
  </si>
  <si>
    <t xml:space="preserve">    民國84年</t>
  </si>
  <si>
    <t xml:space="preserve">    民國85年</t>
  </si>
  <si>
    <t xml:space="preserve">    民國89年  </t>
  </si>
  <si>
    <t xml:space="preserve">    民國94年</t>
  </si>
  <si>
    <r>
      <t xml:space="preserve">    </t>
    </r>
    <r>
      <rPr>
        <sz val="8"/>
        <rFont val="細明體"/>
        <family val="3"/>
      </rPr>
      <t>民國</t>
    </r>
    <r>
      <rPr>
        <sz val="8"/>
        <rFont val="Times New Roman"/>
        <family val="1"/>
      </rPr>
      <t>92</t>
    </r>
    <r>
      <rPr>
        <sz val="8"/>
        <rFont val="細明體"/>
        <family val="3"/>
      </rPr>
      <t>年</t>
    </r>
  </si>
  <si>
    <r>
      <t xml:space="preserve">    </t>
    </r>
    <r>
      <rPr>
        <sz val="8"/>
        <rFont val="細明體"/>
        <family val="3"/>
      </rPr>
      <t>民國</t>
    </r>
    <r>
      <rPr>
        <sz val="8"/>
        <rFont val="Times New Roman"/>
        <family val="1"/>
      </rPr>
      <t>93</t>
    </r>
    <r>
      <rPr>
        <sz val="8"/>
        <rFont val="細明體"/>
        <family val="3"/>
      </rPr>
      <t>年</t>
    </r>
  </si>
  <si>
    <r>
      <t xml:space="preserve">    </t>
    </r>
    <r>
      <rPr>
        <sz val="8"/>
        <rFont val="細明體"/>
        <family val="3"/>
      </rPr>
      <t>民國</t>
    </r>
    <r>
      <rPr>
        <sz val="8"/>
        <rFont val="Times New Roman"/>
        <family val="1"/>
      </rPr>
      <t>91</t>
    </r>
    <r>
      <rPr>
        <sz val="8"/>
        <rFont val="細明體"/>
        <family val="3"/>
      </rPr>
      <t>年</t>
    </r>
    <r>
      <rPr>
        <sz val="8"/>
        <rFont val="Times New Roman"/>
        <family val="1"/>
      </rPr>
      <t>7</t>
    </r>
    <r>
      <rPr>
        <sz val="8"/>
        <rFont val="細明體"/>
        <family val="3"/>
      </rPr>
      <t>至</t>
    </r>
    <r>
      <rPr>
        <sz val="8"/>
        <rFont val="Times New Roman"/>
        <family val="1"/>
      </rPr>
      <t>12</t>
    </r>
    <r>
      <rPr>
        <sz val="8"/>
        <rFont val="細明體"/>
        <family val="3"/>
      </rPr>
      <t>月</t>
    </r>
  </si>
  <si>
    <r>
      <t xml:space="preserve">    </t>
    </r>
    <r>
      <rPr>
        <sz val="8"/>
        <rFont val="細明體"/>
        <family val="3"/>
      </rPr>
      <t>民國</t>
    </r>
    <r>
      <rPr>
        <sz val="8"/>
        <rFont val="Times New Roman"/>
        <family val="1"/>
      </rPr>
      <t>94</t>
    </r>
    <r>
      <rPr>
        <sz val="8"/>
        <rFont val="細明體"/>
        <family val="3"/>
      </rPr>
      <t>年</t>
    </r>
  </si>
  <si>
    <t xml:space="preserve">    民國90年</t>
  </si>
  <si>
    <t xml:space="preserve">    民國91年  </t>
  </si>
  <si>
    <r>
      <t xml:space="preserve">    </t>
    </r>
    <r>
      <rPr>
        <sz val="8"/>
        <rFont val="細明體"/>
        <family val="3"/>
      </rPr>
      <t>民國</t>
    </r>
    <r>
      <rPr>
        <sz val="8"/>
        <rFont val="Times New Roman"/>
        <family val="1"/>
      </rPr>
      <t>94</t>
    </r>
    <r>
      <rPr>
        <sz val="8"/>
        <rFont val="細明體"/>
        <family val="3"/>
      </rPr>
      <t>年</t>
    </r>
  </si>
  <si>
    <t>六</t>
  </si>
  <si>
    <t>月</t>
  </si>
  <si>
    <t>以</t>
  </si>
  <si>
    <t>下</t>
  </si>
  <si>
    <t xml:space="preserve">    民國90年</t>
  </si>
  <si>
    <t xml:space="preserve">    民國91年</t>
  </si>
  <si>
    <t>科</t>
  </si>
  <si>
    <t>其</t>
  </si>
  <si>
    <t xml:space="preserve">       單位：人</t>
  </si>
  <si>
    <t xml:space="preserve">    民國 91 年</t>
  </si>
  <si>
    <t xml:space="preserve">    民國 90 年</t>
  </si>
  <si>
    <t xml:space="preserve">    民國 92 年</t>
  </si>
  <si>
    <t xml:space="preserve">    民國 93 年</t>
  </si>
  <si>
    <t xml:space="preserve">    民國 94 年</t>
  </si>
  <si>
    <t xml:space="preserve">    民國 91 年7至12月</t>
  </si>
  <si>
    <t>本     署     主       管</t>
  </si>
  <si>
    <r>
      <t>本</t>
    </r>
    <r>
      <rPr>
        <b/>
        <sz val="10"/>
        <rFont val="Times New Roman"/>
        <family val="1"/>
      </rPr>
      <t xml:space="preserve">     </t>
    </r>
    <r>
      <rPr>
        <b/>
        <sz val="10"/>
        <rFont val="新細明體"/>
        <family val="1"/>
      </rPr>
      <t>署</t>
    </r>
    <r>
      <rPr>
        <b/>
        <sz val="10"/>
        <rFont val="Times New Roman"/>
        <family val="1"/>
      </rPr>
      <t xml:space="preserve">     </t>
    </r>
    <r>
      <rPr>
        <b/>
        <sz val="10"/>
        <rFont val="新細明體"/>
        <family val="1"/>
      </rPr>
      <t>主</t>
    </r>
    <r>
      <rPr>
        <b/>
        <sz val="10"/>
        <rFont val="Times New Roman"/>
        <family val="1"/>
      </rPr>
      <t xml:space="preserve">       </t>
    </r>
    <r>
      <rPr>
        <b/>
        <sz val="10"/>
        <rFont val="新細明體"/>
        <family val="1"/>
      </rPr>
      <t>管</t>
    </r>
  </si>
  <si>
    <t xml:space="preserve">    民國 95 年</t>
  </si>
  <si>
    <t xml:space="preserve">    民國95年</t>
  </si>
  <si>
    <r>
      <t xml:space="preserve">    </t>
    </r>
    <r>
      <rPr>
        <sz val="8"/>
        <rFont val="細明體"/>
        <family val="3"/>
      </rPr>
      <t>民國</t>
    </r>
    <r>
      <rPr>
        <sz val="8"/>
        <rFont val="Times New Roman"/>
        <family val="1"/>
      </rPr>
      <t>91</t>
    </r>
    <r>
      <rPr>
        <sz val="8"/>
        <rFont val="細明體"/>
        <family val="3"/>
      </rPr>
      <t>年</t>
    </r>
  </si>
  <si>
    <r>
      <t xml:space="preserve">    </t>
    </r>
    <r>
      <rPr>
        <sz val="8"/>
        <rFont val="細明體"/>
        <family val="3"/>
      </rPr>
      <t>民國</t>
    </r>
    <r>
      <rPr>
        <sz val="8"/>
        <rFont val="Times New Roman"/>
        <family val="1"/>
      </rPr>
      <t>95</t>
    </r>
    <r>
      <rPr>
        <sz val="8"/>
        <rFont val="細明體"/>
        <family val="3"/>
      </rPr>
      <t>年</t>
    </r>
  </si>
  <si>
    <t>海洋污染防治法</t>
  </si>
  <si>
    <t>空氣污染防制法</t>
  </si>
  <si>
    <t>有</t>
  </si>
  <si>
    <t>期</t>
  </si>
  <si>
    <t>徒</t>
  </si>
  <si>
    <t>年</t>
  </si>
  <si>
    <t>上</t>
  </si>
  <si>
    <t xml:space="preserve">    民國 96 年</t>
  </si>
  <si>
    <t xml:space="preserve">    民國96年</t>
  </si>
  <si>
    <r>
      <t xml:space="preserve">    </t>
    </r>
    <r>
      <rPr>
        <sz val="8"/>
        <rFont val="細明體"/>
        <family val="3"/>
      </rPr>
      <t>民國</t>
    </r>
    <r>
      <rPr>
        <sz val="8"/>
        <rFont val="Times New Roman"/>
        <family val="1"/>
      </rPr>
      <t>96</t>
    </r>
    <r>
      <rPr>
        <sz val="8"/>
        <rFont val="細明體"/>
        <family val="3"/>
      </rPr>
      <t>年</t>
    </r>
  </si>
  <si>
    <t xml:space="preserve">  36條(無許可文件排放超過標準有害廢水)</t>
  </si>
  <si>
    <t>全體公務人員</t>
  </si>
  <si>
    <t xml:space="preserve">    民國 97 年</t>
  </si>
  <si>
    <t xml:space="preserve">    民國 96 年</t>
  </si>
  <si>
    <t xml:space="preserve">    民國97年</t>
  </si>
  <si>
    <t xml:space="preserve">    民國96年</t>
  </si>
  <si>
    <r>
      <t xml:space="preserve">    </t>
    </r>
    <r>
      <rPr>
        <sz val="8"/>
        <rFont val="細明體"/>
        <family val="3"/>
      </rPr>
      <t>民國</t>
    </r>
    <r>
      <rPr>
        <sz val="8"/>
        <rFont val="Times New Roman"/>
        <family val="1"/>
      </rPr>
      <t>97年</t>
    </r>
  </si>
  <si>
    <t xml:space="preserve">     民國96年</t>
  </si>
  <si>
    <t>-</t>
  </si>
  <si>
    <t xml:space="preserve">                    3. 93年不含福建省資料，94年起含。</t>
  </si>
  <si>
    <t>第2款(未依法貯存、清除、處理或再利用廢棄物，致污染環境)</t>
  </si>
  <si>
    <t>第3款(未經許可，提供土地回填、堆置廢棄物)</t>
  </si>
  <si>
    <t>第4款(未經許可或未依許可內容從事廢棄物貯存、清除、處理)</t>
  </si>
  <si>
    <t>第1款(任意棄置有害事業廢棄物)</t>
  </si>
  <si>
    <t xml:space="preserve">  終      結      案      件      中      人      數   (人)    </t>
  </si>
  <si>
    <t xml:space="preserve"> 終      結      件      數   (件) </t>
  </si>
  <si>
    <t>告</t>
  </si>
  <si>
    <t>人</t>
  </si>
  <si>
    <t>數</t>
  </si>
  <si>
    <t>(人)</t>
  </si>
  <si>
    <t>(人)</t>
  </si>
  <si>
    <t>告</t>
  </si>
  <si>
    <t>人</t>
  </si>
  <si>
    <t>數</t>
  </si>
  <si>
    <t>（人）</t>
  </si>
  <si>
    <t>單位:人</t>
  </si>
  <si>
    <t xml:space="preserve">  其他             </t>
  </si>
  <si>
    <t>(%)</t>
  </si>
  <si>
    <t>率</t>
  </si>
  <si>
    <t xml:space="preserve">  46條</t>
  </si>
  <si>
    <t xml:space="preserve">    民國 98 年</t>
  </si>
  <si>
    <t xml:space="preserve">    民國 97 年</t>
  </si>
  <si>
    <t xml:space="preserve">    民國98年</t>
  </si>
  <si>
    <r>
      <t xml:space="preserve">    </t>
    </r>
    <r>
      <rPr>
        <sz val="8"/>
        <rFont val="細明體"/>
        <family val="3"/>
      </rPr>
      <t>民國</t>
    </r>
    <r>
      <rPr>
        <sz val="8"/>
        <rFont val="Times New Roman"/>
        <family val="1"/>
      </rPr>
      <t>98年</t>
    </r>
  </si>
  <si>
    <t xml:space="preserve">    民國 99 年</t>
  </si>
  <si>
    <t xml:space="preserve">    民國 99 年</t>
  </si>
  <si>
    <t xml:space="preserve">    民國 99 年</t>
  </si>
  <si>
    <t xml:space="preserve">    民國99年</t>
  </si>
  <si>
    <t xml:space="preserve">    民國99年</t>
  </si>
  <si>
    <r>
      <t xml:space="preserve">    </t>
    </r>
    <r>
      <rPr>
        <sz val="8"/>
        <rFont val="細明體"/>
        <family val="3"/>
      </rPr>
      <t>民國</t>
    </r>
    <r>
      <rPr>
        <sz val="8"/>
        <rFont val="Times New Roman"/>
        <family val="1"/>
      </rPr>
      <t>99年</t>
    </r>
  </si>
  <si>
    <r>
      <t xml:space="preserve">    </t>
    </r>
    <r>
      <rPr>
        <sz val="8"/>
        <rFont val="細明體"/>
        <family val="3"/>
      </rPr>
      <t>民國</t>
    </r>
    <r>
      <rPr>
        <sz val="8"/>
        <rFont val="Times New Roman"/>
        <family val="1"/>
      </rPr>
      <t>99</t>
    </r>
    <r>
      <rPr>
        <sz val="8"/>
        <rFont val="細明體"/>
        <family val="3"/>
      </rPr>
      <t>年</t>
    </r>
  </si>
  <si>
    <t xml:space="preserve">     民國98年</t>
  </si>
  <si>
    <t xml:space="preserve">  47條(除依規定處罰行為人外，對該法人或自然人亦科以同額罰金)</t>
  </si>
  <si>
    <t xml:space="preserve">    民國 100 年</t>
  </si>
  <si>
    <t xml:space="preserve">    民國100年</t>
  </si>
  <si>
    <r>
      <t xml:space="preserve">    </t>
    </r>
    <r>
      <rPr>
        <sz val="8"/>
        <rFont val="細明體"/>
        <family val="3"/>
      </rPr>
      <t>民國</t>
    </r>
    <r>
      <rPr>
        <sz val="8"/>
        <rFont val="Times New Roman"/>
        <family val="1"/>
      </rPr>
      <t>100年</t>
    </r>
  </si>
  <si>
    <t xml:space="preserve">     民國100年</t>
  </si>
  <si>
    <t xml:space="preserve">    民國 96 年</t>
  </si>
  <si>
    <t xml:space="preserve">    民國 101 年</t>
  </si>
  <si>
    <t xml:space="preserve">    民國 101 年</t>
  </si>
  <si>
    <t xml:space="preserve">    民國 97 年</t>
  </si>
  <si>
    <t xml:space="preserve">    民國101年</t>
  </si>
  <si>
    <t xml:space="preserve">    民國101年</t>
  </si>
  <si>
    <r>
      <t xml:space="preserve">    </t>
    </r>
    <r>
      <rPr>
        <sz val="8"/>
        <rFont val="細明體"/>
        <family val="3"/>
      </rPr>
      <t>民國</t>
    </r>
    <r>
      <rPr>
        <sz val="8"/>
        <rFont val="Times New Roman"/>
        <family val="1"/>
      </rPr>
      <t>101</t>
    </r>
    <r>
      <rPr>
        <sz val="8"/>
        <rFont val="細明體"/>
        <family val="3"/>
      </rPr>
      <t>年</t>
    </r>
  </si>
  <si>
    <t xml:space="preserve">    民國 101 年</t>
  </si>
  <si>
    <r>
      <t xml:space="preserve">    </t>
    </r>
    <r>
      <rPr>
        <sz val="8"/>
        <rFont val="細明體"/>
        <family val="3"/>
      </rPr>
      <t>民國</t>
    </r>
    <r>
      <rPr>
        <sz val="8"/>
        <rFont val="Times New Roman"/>
        <family val="1"/>
      </rPr>
      <t>101年</t>
    </r>
  </si>
  <si>
    <t xml:space="preserve">  48條(申報不實或文書虛偽記載者)</t>
  </si>
  <si>
    <t xml:space="preserve"> 47條(除依規定處罰行為人外，對該法人或自然人亦科以同額罰金)</t>
  </si>
  <si>
    <t xml:space="preserve"> 48條(申報不實或文書虛偽記載者)</t>
  </si>
  <si>
    <t xml:space="preserve">    民國 102 年</t>
  </si>
  <si>
    <t xml:space="preserve">    民國 102 年</t>
  </si>
  <si>
    <t xml:space="preserve">    民國102年</t>
  </si>
  <si>
    <t xml:space="preserve">    民國102年</t>
  </si>
  <si>
    <r>
      <t xml:space="preserve">    </t>
    </r>
    <r>
      <rPr>
        <sz val="8"/>
        <rFont val="細明體"/>
        <family val="3"/>
      </rPr>
      <t>民國</t>
    </r>
    <r>
      <rPr>
        <sz val="8"/>
        <rFont val="Times New Roman"/>
        <family val="1"/>
      </rPr>
      <t>102</t>
    </r>
    <r>
      <rPr>
        <sz val="8"/>
        <rFont val="細明體"/>
        <family val="3"/>
      </rPr>
      <t>年</t>
    </r>
  </si>
  <si>
    <r>
      <t xml:space="preserve">    </t>
    </r>
    <r>
      <rPr>
        <sz val="8"/>
        <rFont val="細明體"/>
        <family val="3"/>
      </rPr>
      <t>民國</t>
    </r>
    <r>
      <rPr>
        <sz val="8"/>
        <rFont val="Times New Roman"/>
        <family val="1"/>
      </rPr>
      <t>102年</t>
    </r>
  </si>
  <si>
    <t>資料來源︰法務部統計處。</t>
  </si>
  <si>
    <t>資料來源：法務部統計處。</t>
  </si>
  <si>
    <t>第3款(未經許可，提供土地回填、堆置廢棄物)</t>
  </si>
  <si>
    <t xml:space="preserve">    民國 103 年</t>
  </si>
  <si>
    <t xml:space="preserve">    民國 103 年</t>
  </si>
  <si>
    <t xml:space="preserve">    民國 103 年</t>
  </si>
  <si>
    <t xml:space="preserve">    民國103年</t>
  </si>
  <si>
    <t xml:space="preserve">    民國 104 年</t>
  </si>
  <si>
    <t xml:space="preserve">     民國103年</t>
  </si>
  <si>
    <r>
      <t xml:space="preserve">    </t>
    </r>
    <r>
      <rPr>
        <sz val="8"/>
        <rFont val="細明體"/>
        <family val="3"/>
      </rPr>
      <t>民國</t>
    </r>
    <r>
      <rPr>
        <sz val="8"/>
        <rFont val="Times New Roman"/>
        <family val="1"/>
      </rPr>
      <t>104年</t>
    </r>
  </si>
  <si>
    <t xml:space="preserve">  46條</t>
  </si>
  <si>
    <t xml:space="preserve">  35條(申報不實或文書虛偽記載者)</t>
  </si>
  <si>
    <t xml:space="preserve">  35條(申報不實或文書虛偽記載者)</t>
  </si>
  <si>
    <t xml:space="preserve">  34條(不遵行停工停業命令)</t>
  </si>
  <si>
    <t xml:space="preserve">  34條(不遵行停工停業命令)</t>
  </si>
  <si>
    <t xml:space="preserve">水污染防治法                     </t>
  </si>
  <si>
    <t xml:space="preserve">  36條(無許可文件排放超過標準有害廢水)</t>
  </si>
  <si>
    <t>附表一     近5年各地方法院檢察署偵查環保刑事案件終結情形(續1完)</t>
  </si>
  <si>
    <t xml:space="preserve">                 附表三   近5年各地方法院檢察署執行環保刑事案件判決確定情形(續1完)</t>
  </si>
  <si>
    <r>
      <t xml:space="preserve">     </t>
    </r>
    <r>
      <rPr>
        <b/>
        <sz val="9"/>
        <rFont val="新細明體"/>
        <family val="1"/>
      </rPr>
      <t>民國</t>
    </r>
    <r>
      <rPr>
        <b/>
        <sz val="9"/>
        <rFont val="Times New Roman"/>
        <family val="1"/>
      </rPr>
      <t>97年</t>
    </r>
  </si>
  <si>
    <r>
      <t xml:space="preserve">     </t>
    </r>
    <r>
      <rPr>
        <b/>
        <sz val="9"/>
        <rFont val="新細明體"/>
        <family val="1"/>
      </rPr>
      <t>民國</t>
    </r>
    <r>
      <rPr>
        <b/>
        <sz val="9"/>
        <rFont val="Times New Roman"/>
        <family val="1"/>
      </rPr>
      <t>98年</t>
    </r>
  </si>
  <si>
    <r>
      <t xml:space="preserve">     </t>
    </r>
    <r>
      <rPr>
        <sz val="9"/>
        <rFont val="新細明體"/>
        <family val="1"/>
      </rPr>
      <t>民國</t>
    </r>
    <r>
      <rPr>
        <sz val="9"/>
        <rFont val="Times New Roman"/>
        <family val="1"/>
      </rPr>
      <t>99年</t>
    </r>
  </si>
  <si>
    <r>
      <t xml:space="preserve">     </t>
    </r>
    <r>
      <rPr>
        <sz val="9"/>
        <rFont val="新細明體"/>
        <family val="1"/>
      </rPr>
      <t>民國</t>
    </r>
    <r>
      <rPr>
        <sz val="9"/>
        <rFont val="Times New Roman"/>
        <family val="1"/>
      </rPr>
      <t>101年</t>
    </r>
  </si>
  <si>
    <r>
      <t xml:space="preserve">     </t>
    </r>
    <r>
      <rPr>
        <sz val="9"/>
        <rFont val="新細明體"/>
        <family val="1"/>
      </rPr>
      <t>民國</t>
    </r>
    <r>
      <rPr>
        <sz val="9"/>
        <rFont val="Times New Roman"/>
        <family val="1"/>
      </rPr>
      <t>102年</t>
    </r>
  </si>
  <si>
    <r>
      <t xml:space="preserve">     </t>
    </r>
    <r>
      <rPr>
        <sz val="9"/>
        <rFont val="新細明體"/>
        <family val="1"/>
      </rPr>
      <t>民國</t>
    </r>
    <r>
      <rPr>
        <sz val="9"/>
        <rFont val="Times New Roman"/>
        <family val="1"/>
      </rPr>
      <t>103年</t>
    </r>
  </si>
  <si>
    <r>
      <t xml:space="preserve">     </t>
    </r>
    <r>
      <rPr>
        <b/>
        <sz val="9"/>
        <rFont val="新細明體"/>
        <family val="1"/>
      </rPr>
      <t>民國</t>
    </r>
    <r>
      <rPr>
        <b/>
        <sz val="9"/>
        <rFont val="Times New Roman"/>
        <family val="1"/>
      </rPr>
      <t>92</t>
    </r>
    <r>
      <rPr>
        <b/>
        <sz val="9"/>
        <rFont val="新細明體"/>
        <family val="1"/>
      </rPr>
      <t>年</t>
    </r>
  </si>
  <si>
    <r>
      <t xml:space="preserve">     </t>
    </r>
    <r>
      <rPr>
        <b/>
        <sz val="9"/>
        <rFont val="新細明體"/>
        <family val="1"/>
      </rPr>
      <t>民國</t>
    </r>
    <r>
      <rPr>
        <b/>
        <sz val="9"/>
        <rFont val="Times New Roman"/>
        <family val="1"/>
      </rPr>
      <t>93</t>
    </r>
    <r>
      <rPr>
        <b/>
        <sz val="9"/>
        <rFont val="新細明體"/>
        <family val="1"/>
      </rPr>
      <t>年</t>
    </r>
  </si>
  <si>
    <r>
      <t xml:space="preserve">     </t>
    </r>
    <r>
      <rPr>
        <b/>
        <sz val="9"/>
        <rFont val="新細明體"/>
        <family val="1"/>
      </rPr>
      <t>民國</t>
    </r>
    <r>
      <rPr>
        <b/>
        <sz val="9"/>
        <rFont val="Times New Roman"/>
        <family val="1"/>
      </rPr>
      <t>94</t>
    </r>
    <r>
      <rPr>
        <b/>
        <sz val="9"/>
        <rFont val="細明體"/>
        <family val="3"/>
      </rPr>
      <t>年</t>
    </r>
  </si>
  <si>
    <r>
      <t xml:space="preserve">     </t>
    </r>
    <r>
      <rPr>
        <b/>
        <sz val="9"/>
        <rFont val="新細明體"/>
        <family val="1"/>
      </rPr>
      <t>民國</t>
    </r>
    <r>
      <rPr>
        <b/>
        <sz val="9"/>
        <rFont val="Times New Roman"/>
        <family val="1"/>
      </rPr>
      <t>95</t>
    </r>
    <r>
      <rPr>
        <b/>
        <sz val="9"/>
        <rFont val="細明體"/>
        <family val="3"/>
      </rPr>
      <t>年</t>
    </r>
  </si>
  <si>
    <r>
      <t xml:space="preserve">     </t>
    </r>
    <r>
      <rPr>
        <b/>
        <sz val="9"/>
        <rFont val="新細明體"/>
        <family val="1"/>
      </rPr>
      <t>民國</t>
    </r>
    <r>
      <rPr>
        <b/>
        <sz val="9"/>
        <rFont val="Times New Roman"/>
        <family val="1"/>
      </rPr>
      <t>96</t>
    </r>
    <r>
      <rPr>
        <b/>
        <sz val="9"/>
        <rFont val="細明體"/>
        <family val="3"/>
      </rPr>
      <t>年</t>
    </r>
  </si>
  <si>
    <r>
      <t xml:space="preserve">     </t>
    </r>
    <r>
      <rPr>
        <sz val="9"/>
        <rFont val="新細明體"/>
        <family val="1"/>
      </rPr>
      <t>民國</t>
    </r>
    <r>
      <rPr>
        <sz val="9"/>
        <rFont val="Times New Roman"/>
        <family val="1"/>
      </rPr>
      <t>100</t>
    </r>
    <r>
      <rPr>
        <sz val="9"/>
        <rFont val="細明體"/>
        <family val="3"/>
      </rPr>
      <t>年</t>
    </r>
  </si>
  <si>
    <r>
      <t xml:space="preserve">     </t>
    </r>
    <r>
      <rPr>
        <sz val="9"/>
        <rFont val="新細明體"/>
        <family val="1"/>
      </rPr>
      <t>民國</t>
    </r>
    <r>
      <rPr>
        <sz val="9"/>
        <rFont val="Times New Roman"/>
        <family val="1"/>
      </rPr>
      <t>99</t>
    </r>
    <r>
      <rPr>
        <sz val="9"/>
        <rFont val="細明體"/>
        <family val="3"/>
      </rPr>
      <t>年</t>
    </r>
  </si>
  <si>
    <r>
      <t xml:space="preserve">     </t>
    </r>
    <r>
      <rPr>
        <sz val="9"/>
        <rFont val="細明體"/>
        <family val="3"/>
      </rPr>
      <t>民國</t>
    </r>
    <r>
      <rPr>
        <sz val="9"/>
        <rFont val="Times New Roman"/>
        <family val="1"/>
      </rPr>
      <t>102</t>
    </r>
    <r>
      <rPr>
        <sz val="9"/>
        <rFont val="細明體"/>
        <family val="3"/>
      </rPr>
      <t>年</t>
    </r>
  </si>
  <si>
    <t xml:space="preserve">    民國 105 年</t>
  </si>
  <si>
    <t xml:space="preserve">    民國105年</t>
  </si>
  <si>
    <r>
      <t xml:space="preserve">    </t>
    </r>
    <r>
      <rPr>
        <sz val="8"/>
        <rFont val="細明體"/>
        <family val="3"/>
      </rPr>
      <t>民國</t>
    </r>
    <r>
      <rPr>
        <sz val="8"/>
        <rFont val="Times New Roman"/>
        <family val="1"/>
      </rPr>
      <t>105年</t>
    </r>
  </si>
  <si>
    <r>
      <t xml:space="preserve">     </t>
    </r>
    <r>
      <rPr>
        <sz val="9"/>
        <rFont val="新細明體"/>
        <family val="1"/>
      </rPr>
      <t>民國</t>
    </r>
    <r>
      <rPr>
        <sz val="9"/>
        <rFont val="Times New Roman"/>
        <family val="1"/>
      </rPr>
      <t>105年</t>
    </r>
  </si>
  <si>
    <t xml:space="preserve">     民國105年</t>
  </si>
  <si>
    <t>刑</t>
  </si>
  <si>
    <t>定</t>
  </si>
  <si>
    <t xml:space="preserve">    民國 106 年</t>
  </si>
  <si>
    <t xml:space="preserve">    民國 106 年</t>
  </si>
  <si>
    <t xml:space="preserve">    民國 106 年</t>
  </si>
  <si>
    <t xml:space="preserve">    民國106年</t>
  </si>
  <si>
    <r>
      <t xml:space="preserve">    </t>
    </r>
    <r>
      <rPr>
        <sz val="8"/>
        <rFont val="細明體"/>
        <family val="3"/>
      </rPr>
      <t>民國</t>
    </r>
    <r>
      <rPr>
        <sz val="8"/>
        <rFont val="Times New Roman"/>
        <family val="1"/>
      </rPr>
      <t>106</t>
    </r>
    <r>
      <rPr>
        <sz val="8"/>
        <rFont val="細明體"/>
        <family val="3"/>
      </rPr>
      <t>年</t>
    </r>
  </si>
  <si>
    <r>
      <t xml:space="preserve">    </t>
    </r>
    <r>
      <rPr>
        <sz val="8"/>
        <rFont val="細明體"/>
        <family val="3"/>
      </rPr>
      <t>民國</t>
    </r>
    <r>
      <rPr>
        <sz val="8"/>
        <rFont val="Times New Roman"/>
        <family val="1"/>
      </rPr>
      <t>106年</t>
    </r>
  </si>
  <si>
    <r>
      <t xml:space="preserve">    </t>
    </r>
    <r>
      <rPr>
        <sz val="8"/>
        <rFont val="細明體"/>
        <family val="3"/>
      </rPr>
      <t>民國</t>
    </r>
    <r>
      <rPr>
        <sz val="8"/>
        <rFont val="Times New Roman"/>
        <family val="1"/>
      </rPr>
      <t>106</t>
    </r>
    <r>
      <rPr>
        <sz val="8"/>
        <rFont val="細明體"/>
        <family val="3"/>
      </rPr>
      <t>年</t>
    </r>
  </si>
  <si>
    <r>
      <t xml:space="preserve">     </t>
    </r>
    <r>
      <rPr>
        <sz val="9"/>
        <rFont val="新細明體"/>
        <family val="1"/>
      </rPr>
      <t>民國</t>
    </r>
    <r>
      <rPr>
        <sz val="9"/>
        <rFont val="Times New Roman"/>
        <family val="1"/>
      </rPr>
      <t>106年</t>
    </r>
  </si>
  <si>
    <r>
      <t xml:space="preserve">     </t>
    </r>
    <r>
      <rPr>
        <sz val="9"/>
        <rFont val="細明體"/>
        <family val="3"/>
      </rPr>
      <t>民國</t>
    </r>
    <r>
      <rPr>
        <sz val="9"/>
        <rFont val="Times New Roman"/>
        <family val="1"/>
      </rPr>
      <t>106</t>
    </r>
    <r>
      <rPr>
        <sz val="9"/>
        <rFont val="細明體"/>
        <family val="3"/>
      </rPr>
      <t>年</t>
    </r>
  </si>
  <si>
    <t xml:space="preserve">    民國 107 年</t>
  </si>
  <si>
    <t xml:space="preserve">    民國 107 年</t>
  </si>
  <si>
    <t xml:space="preserve">    民國107年</t>
  </si>
  <si>
    <r>
      <t xml:space="preserve">    </t>
    </r>
    <r>
      <rPr>
        <sz val="8"/>
        <rFont val="細明體"/>
        <family val="3"/>
      </rPr>
      <t>民國</t>
    </r>
    <r>
      <rPr>
        <sz val="8"/>
        <rFont val="Times New Roman"/>
        <family val="1"/>
      </rPr>
      <t>107年</t>
    </r>
  </si>
  <si>
    <r>
      <t xml:space="preserve">     </t>
    </r>
    <r>
      <rPr>
        <sz val="9"/>
        <rFont val="細明體"/>
        <family val="3"/>
      </rPr>
      <t>民國</t>
    </r>
    <r>
      <rPr>
        <sz val="9"/>
        <rFont val="Times New Roman"/>
        <family val="1"/>
      </rPr>
      <t>107年</t>
    </r>
  </si>
  <si>
    <r>
      <t xml:space="preserve">     </t>
    </r>
    <r>
      <rPr>
        <sz val="9"/>
        <rFont val="新細明體"/>
        <family val="1"/>
      </rPr>
      <t>民國</t>
    </r>
    <r>
      <rPr>
        <sz val="9"/>
        <rFont val="Times New Roman"/>
        <family val="1"/>
      </rPr>
      <t>107年</t>
    </r>
  </si>
  <si>
    <t>民選首長</t>
  </si>
  <si>
    <t xml:space="preserve">    民國 108 年</t>
  </si>
  <si>
    <t xml:space="preserve">    民國 108年</t>
  </si>
  <si>
    <t>毒性及關注化學物質管理法</t>
  </si>
  <si>
    <r>
      <t xml:space="preserve">     </t>
    </r>
    <r>
      <rPr>
        <sz val="9"/>
        <rFont val="新細明體"/>
        <family val="1"/>
      </rPr>
      <t>民國</t>
    </r>
    <r>
      <rPr>
        <sz val="9"/>
        <rFont val="Times New Roman"/>
        <family val="1"/>
      </rPr>
      <t>108</t>
    </r>
    <r>
      <rPr>
        <sz val="9"/>
        <rFont val="細明體"/>
        <family val="3"/>
      </rPr>
      <t>年</t>
    </r>
  </si>
  <si>
    <r>
      <t xml:space="preserve">    </t>
    </r>
    <r>
      <rPr>
        <sz val="8"/>
        <rFont val="細明體"/>
        <family val="3"/>
      </rPr>
      <t>民國</t>
    </r>
    <r>
      <rPr>
        <sz val="8"/>
        <rFont val="Times New Roman"/>
        <family val="1"/>
      </rPr>
      <t>108</t>
    </r>
    <r>
      <rPr>
        <sz val="8"/>
        <rFont val="細明體"/>
        <family val="3"/>
      </rPr>
      <t>年</t>
    </r>
  </si>
  <si>
    <t xml:space="preserve">    民國108年</t>
  </si>
  <si>
    <r>
      <t xml:space="preserve">    </t>
    </r>
    <r>
      <rPr>
        <sz val="8"/>
        <rFont val="細明體"/>
        <family val="3"/>
      </rPr>
      <t>民國</t>
    </r>
    <r>
      <rPr>
        <sz val="8"/>
        <rFont val="Times New Roman"/>
        <family val="1"/>
      </rPr>
      <t>108</t>
    </r>
    <r>
      <rPr>
        <sz val="8"/>
        <rFont val="細明體"/>
        <family val="3"/>
      </rPr>
      <t>年</t>
    </r>
  </si>
  <si>
    <r>
      <t xml:space="preserve">    </t>
    </r>
    <r>
      <rPr>
        <sz val="8"/>
        <rFont val="細明體"/>
        <family val="3"/>
      </rPr>
      <t>民國</t>
    </r>
    <r>
      <rPr>
        <sz val="8"/>
        <rFont val="Times New Roman"/>
        <family val="1"/>
      </rPr>
      <t>108年</t>
    </r>
  </si>
  <si>
    <t>附表一    近5年各地方法院檢察署偵查環保刑事案件終結情形</t>
  </si>
  <si>
    <t xml:space="preserve">                 附表三    近5年各地方法院檢察署執行環保刑事案件判決確定情形</t>
  </si>
  <si>
    <t xml:space="preserve">  附表五    近5年各地方法院檢察署執行公務人員瀆職及貪污犯罪者裁判確定情形</t>
  </si>
  <si>
    <t xml:space="preserve">                    2.「其他」含「改作自訴」、「移送他管」、「並案通緝」、「他結」、「並案」、「移送勒戒」、「移送少年法庭」、「通緝」及「分案錯誤」。</t>
  </si>
  <si>
    <t xml:space="preserve">                    3. 108年1月16日修正公布名稱，原「毒性化學物質管理法」改為「毒性及關注化學物質管理法」。</t>
  </si>
  <si>
    <t>說　　明： 1.「起訴」含「聲請簡易判決處刑」；「其他」含「改作自訴」。</t>
  </si>
  <si>
    <t xml:space="preserve">                   2. 108年1月16日修正公布名稱，原「毒性化學物質管理法」改為「毒性及關注化學物質管理法」。</t>
  </si>
  <si>
    <t>說　　明：1.本表資料不含以法人為被告案件。</t>
  </si>
  <si>
    <t xml:space="preserve">說　　明： 1. 本表資料不含以法人為被告案件；定罪率=有罪人數/(有罪人數+無罪人數)×100%；有罪人數包含科刑及免刑人數。 </t>
  </si>
  <si>
    <t xml:space="preserve">                    2. 108年1月16日修正公布名稱，原「毒性化學物質管理法」改為「毒性及關注化學物質管理法」。</t>
  </si>
  <si>
    <t xml:space="preserve"> </t>
  </si>
  <si>
    <t xml:space="preserve">    </t>
  </si>
  <si>
    <r>
      <t>本</t>
    </r>
    <r>
      <rPr>
        <b/>
        <sz val="8"/>
        <rFont val="Times New Roman"/>
        <family val="1"/>
      </rPr>
      <t xml:space="preserve">     </t>
    </r>
    <r>
      <rPr>
        <b/>
        <sz val="8"/>
        <rFont val="新細明體"/>
        <family val="1"/>
      </rPr>
      <t>署</t>
    </r>
    <r>
      <rPr>
        <b/>
        <sz val="8"/>
        <rFont val="Times New Roman"/>
        <family val="1"/>
      </rPr>
      <t xml:space="preserve">     </t>
    </r>
    <r>
      <rPr>
        <b/>
        <sz val="8"/>
        <rFont val="新細明體"/>
        <family val="1"/>
      </rPr>
      <t>主</t>
    </r>
    <r>
      <rPr>
        <b/>
        <sz val="8"/>
        <rFont val="Times New Roman"/>
        <family val="1"/>
      </rPr>
      <t xml:space="preserve">       </t>
    </r>
    <r>
      <rPr>
        <b/>
        <sz val="8"/>
        <rFont val="新細明體"/>
        <family val="1"/>
      </rPr>
      <t>管</t>
    </r>
  </si>
  <si>
    <t>本     署     主       管</t>
  </si>
  <si>
    <t>毒性及關注化學物質管理法</t>
  </si>
  <si>
    <r>
      <t>毒性</t>
    </r>
    <r>
      <rPr>
        <b/>
        <sz val="10"/>
        <color indexed="10"/>
        <rFont val="新細明體"/>
        <family val="1"/>
      </rPr>
      <t>及關注</t>
    </r>
    <r>
      <rPr>
        <b/>
        <sz val="10"/>
        <rFont val="新細明體"/>
        <family val="1"/>
      </rPr>
      <t xml:space="preserve">化學物質管理法             </t>
    </r>
  </si>
  <si>
    <r>
      <t>毒性</t>
    </r>
    <r>
      <rPr>
        <b/>
        <sz val="10"/>
        <color indexed="10"/>
        <rFont val="新細明體"/>
        <family val="1"/>
      </rPr>
      <t>及關注</t>
    </r>
    <r>
      <rPr>
        <b/>
        <sz val="10"/>
        <color indexed="8"/>
        <rFont val="新細明體"/>
        <family val="1"/>
      </rPr>
      <t xml:space="preserve">化學物質管理法           </t>
    </r>
  </si>
  <si>
    <r>
      <t xml:space="preserve"> </t>
    </r>
    <r>
      <rPr>
        <sz val="8"/>
        <color indexed="10"/>
        <rFont val="新細明體"/>
        <family val="1"/>
      </rPr>
      <t xml:space="preserve"> 54</t>
    </r>
    <r>
      <rPr>
        <sz val="8"/>
        <rFont val="新細明體"/>
        <family val="1"/>
      </rPr>
      <t>條(申報不實或文書虛偽記載者)</t>
    </r>
  </si>
  <si>
    <r>
      <t xml:space="preserve">  </t>
    </r>
    <r>
      <rPr>
        <sz val="8"/>
        <color indexed="10"/>
        <rFont val="新細明體"/>
        <family val="1"/>
      </rPr>
      <t>55</t>
    </r>
    <r>
      <rPr>
        <sz val="8"/>
        <rFont val="新細明體"/>
        <family val="1"/>
      </rPr>
      <t>條(無空污防制設備而燃燒易生有害健康物質者)</t>
    </r>
  </si>
  <si>
    <r>
      <rPr>
        <sz val="8"/>
        <color indexed="10"/>
        <rFont val="新細明體"/>
        <family val="1"/>
      </rPr>
      <t xml:space="preserve">  54</t>
    </r>
    <r>
      <rPr>
        <sz val="8"/>
        <rFont val="新細明體"/>
        <family val="1"/>
      </rPr>
      <t>條(申報不實或文書虛偽記載者  )</t>
    </r>
  </si>
  <si>
    <r>
      <t xml:space="preserve">  </t>
    </r>
    <r>
      <rPr>
        <sz val="8"/>
        <color indexed="10"/>
        <rFont val="新細明體"/>
        <family val="1"/>
      </rPr>
      <t>55</t>
    </r>
    <r>
      <rPr>
        <sz val="8"/>
        <rFont val="新細明體"/>
        <family val="1"/>
      </rPr>
      <t>條(無空污防制設備而燃燒易生有害健康物質者  )</t>
    </r>
  </si>
  <si>
    <r>
      <t xml:space="preserve">  </t>
    </r>
    <r>
      <rPr>
        <sz val="8"/>
        <color indexed="10"/>
        <rFont val="新細明體"/>
        <family val="1"/>
      </rPr>
      <t>56</t>
    </r>
    <r>
      <rPr>
        <sz val="8"/>
        <rFont val="新細明體"/>
        <family val="1"/>
      </rPr>
      <t>條(不遵行停工停業命令)</t>
    </r>
  </si>
  <si>
    <t xml:space="preserve">  57條(除依規定處罰行為人外，對該法人或自然人亦科以10倍以下罰金)</t>
  </si>
  <si>
    <r>
      <t xml:space="preserve">  39條(除依規定處罰行為人外，對該法人或自然人亦科以</t>
    </r>
    <r>
      <rPr>
        <sz val="8"/>
        <color indexed="10"/>
        <rFont val="新細明體"/>
        <family val="1"/>
      </rPr>
      <t>10倍</t>
    </r>
    <r>
      <rPr>
        <sz val="8"/>
        <rFont val="新細明體"/>
        <family val="1"/>
      </rPr>
      <t xml:space="preserve">以下罰金)  </t>
    </r>
  </si>
  <si>
    <r>
      <t xml:space="preserve">  39條(除依規定處罰行為人外，對該法人或自然人亦科以</t>
    </r>
    <r>
      <rPr>
        <sz val="8"/>
        <color indexed="10"/>
        <rFont val="新細明體"/>
        <family val="1"/>
      </rPr>
      <t>10倍以下</t>
    </r>
    <r>
      <rPr>
        <sz val="8"/>
        <rFont val="新細明體"/>
        <family val="1"/>
      </rPr>
      <t>罰金)</t>
    </r>
  </si>
  <si>
    <t xml:space="preserve">    民國 109 年</t>
  </si>
  <si>
    <t xml:space="preserve">    民國 109 年</t>
  </si>
  <si>
    <t xml:space="preserve">    民國109年</t>
  </si>
  <si>
    <r>
      <t xml:space="preserve">    </t>
    </r>
    <r>
      <rPr>
        <sz val="8"/>
        <rFont val="細明體"/>
        <family val="3"/>
      </rPr>
      <t>民國</t>
    </r>
    <r>
      <rPr>
        <sz val="8"/>
        <rFont val="Times New Roman"/>
        <family val="1"/>
      </rPr>
      <t>109</t>
    </r>
    <r>
      <rPr>
        <sz val="8"/>
        <rFont val="細明體"/>
        <family val="3"/>
      </rPr>
      <t>年</t>
    </r>
  </si>
  <si>
    <r>
      <t xml:space="preserve">    </t>
    </r>
    <r>
      <rPr>
        <sz val="8"/>
        <rFont val="細明體"/>
        <family val="3"/>
      </rPr>
      <t>民國</t>
    </r>
    <r>
      <rPr>
        <sz val="8"/>
        <rFont val="Times New Roman"/>
        <family val="1"/>
      </rPr>
      <t>109年</t>
    </r>
  </si>
  <si>
    <r>
      <t xml:space="preserve">附表四    </t>
    </r>
    <r>
      <rPr>
        <b/>
        <sz val="16"/>
        <color indexed="10"/>
        <rFont val="新細明體"/>
        <family val="1"/>
      </rPr>
      <t>109</t>
    </r>
    <r>
      <rPr>
        <b/>
        <sz val="16"/>
        <rFont val="新細明體"/>
        <family val="1"/>
      </rPr>
      <t>年各地方法院檢察署執行環保刑事案件判決確定情形</t>
    </r>
  </si>
  <si>
    <t xml:space="preserve">     民國108年</t>
  </si>
  <si>
    <r>
      <t xml:space="preserve">     </t>
    </r>
    <r>
      <rPr>
        <sz val="9"/>
        <rFont val="新細明體"/>
        <family val="1"/>
      </rPr>
      <t>民國</t>
    </r>
    <r>
      <rPr>
        <sz val="9"/>
        <rFont val="Times New Roman"/>
        <family val="1"/>
      </rPr>
      <t>109年</t>
    </r>
  </si>
  <si>
    <r>
      <t xml:space="preserve">     </t>
    </r>
    <r>
      <rPr>
        <sz val="9"/>
        <rFont val="細明體"/>
        <family val="3"/>
      </rPr>
      <t>民國</t>
    </r>
    <r>
      <rPr>
        <sz val="9"/>
        <rFont val="Times New Roman"/>
        <family val="1"/>
      </rPr>
      <t>109</t>
    </r>
    <r>
      <rPr>
        <sz val="9"/>
        <rFont val="細明體"/>
        <family val="3"/>
      </rPr>
      <t>年</t>
    </r>
  </si>
  <si>
    <r>
      <t xml:space="preserve">  附表六</t>
    </r>
    <r>
      <rPr>
        <b/>
        <sz val="15"/>
        <color indexed="10"/>
        <rFont val="新細明體"/>
        <family val="1"/>
      </rPr>
      <t xml:space="preserve"> 109</t>
    </r>
    <r>
      <rPr>
        <b/>
        <sz val="15"/>
        <rFont val="新細明體"/>
        <family val="1"/>
      </rPr>
      <t>年各地方法院檢察署執行公務人員瀆職及貪污犯罪者職類及裁判確定情形</t>
    </r>
  </si>
  <si>
    <r>
      <t xml:space="preserve"> 附表二     </t>
    </r>
    <r>
      <rPr>
        <b/>
        <sz val="16"/>
        <color indexed="10"/>
        <rFont val="新細明體"/>
        <family val="1"/>
      </rPr>
      <t>109</t>
    </r>
    <r>
      <rPr>
        <b/>
        <sz val="16"/>
        <rFont val="新細明體"/>
        <family val="1"/>
      </rPr>
      <t>年各地方法院檢察署偵查環保刑事案件終結情形</t>
    </r>
  </si>
  <si>
    <t>中華民國109年 1月至12月</t>
  </si>
  <si>
    <t>單位：件、人</t>
  </si>
  <si>
    <t>罪名別</t>
  </si>
  <si>
    <t>終結件數</t>
  </si>
  <si>
    <r>
      <t>終結人數</t>
    </r>
  </si>
  <si>
    <t>總計</t>
  </si>
  <si>
    <t>不起訴處分</t>
  </si>
  <si>
    <t>其他</t>
  </si>
  <si>
    <t>總  計</t>
  </si>
  <si>
    <t>緩起訴
處  分</t>
  </si>
  <si>
    <t>不起訴 
處  分</t>
  </si>
  <si>
    <t>其  他</t>
  </si>
  <si>
    <t>46條</t>
  </si>
  <si>
    <t>47條</t>
  </si>
  <si>
    <t>48條</t>
  </si>
  <si>
    <t>49條1項</t>
  </si>
  <si>
    <t>49條2項</t>
  </si>
  <si>
    <t>50條</t>
  </si>
  <si>
    <t>其他</t>
  </si>
  <si>
    <t>34條</t>
  </si>
  <si>
    <t>35條</t>
  </si>
  <si>
    <t>36條</t>
  </si>
  <si>
    <t>37條</t>
  </si>
  <si>
    <t>39條</t>
  </si>
  <si>
    <t>45條</t>
  </si>
  <si>
    <t>46條1款</t>
  </si>
  <si>
    <t>46條2款</t>
  </si>
  <si>
    <t>46條3款</t>
  </si>
  <si>
    <t>46條4款</t>
  </si>
  <si>
    <t>46條5款</t>
  </si>
  <si>
    <t>46條6款</t>
  </si>
  <si>
    <t>110/03/29</t>
  </si>
  <si>
    <r>
      <t xml:space="preserve">                    2. 108</t>
    </r>
    <r>
      <rPr>
        <sz val="10"/>
        <rFont val="細明體"/>
        <family val="3"/>
      </rPr>
      <t>年</t>
    </r>
    <r>
      <rPr>
        <sz val="10"/>
        <rFont val="Times New Roman"/>
        <family val="1"/>
      </rPr>
      <t>1</t>
    </r>
    <r>
      <rPr>
        <sz val="10"/>
        <rFont val="細明體"/>
        <family val="3"/>
      </rPr>
      <t>月</t>
    </r>
    <r>
      <rPr>
        <sz val="10"/>
        <rFont val="Times New Roman"/>
        <family val="1"/>
      </rPr>
      <t>16</t>
    </r>
    <r>
      <rPr>
        <sz val="10"/>
        <rFont val="細明體"/>
        <family val="3"/>
      </rPr>
      <t>日修正公布名稱，原「毒性化學物質管理法」改為「毒性及關注化學物質管理法」。</t>
    </r>
  </si>
  <si>
    <t>附表二    各地方檢察署環保刑事案件偵查終結情形</t>
  </si>
  <si>
    <t>法人</t>
  </si>
  <si>
    <t>法人</t>
  </si>
  <si>
    <t>自然人</t>
  </si>
  <si>
    <t>自然人</t>
  </si>
  <si>
    <t>單位：件、人</t>
  </si>
  <si>
    <t>件數</t>
  </si>
  <si>
    <r>
      <t>被                    告                    人                    數</t>
    </r>
    <r>
      <rPr>
        <sz val="12"/>
        <rFont val="新細明體"/>
        <family val="1"/>
      </rPr>
      <t xml:space="preserve">   ( </t>
    </r>
    <r>
      <rPr>
        <sz val="10"/>
        <rFont val="新細明體"/>
        <family val="1"/>
      </rPr>
      <t>含</t>
    </r>
    <r>
      <rPr>
        <sz val="12"/>
        <rFont val="新細明體"/>
        <family val="1"/>
      </rPr>
      <t xml:space="preserve">  </t>
    </r>
    <r>
      <rPr>
        <sz val="10"/>
        <rFont val="新細明體"/>
        <family val="1"/>
      </rPr>
      <t>法</t>
    </r>
    <r>
      <rPr>
        <sz val="12"/>
        <rFont val="新細明體"/>
        <family val="1"/>
      </rPr>
      <t xml:space="preserve">  </t>
    </r>
    <r>
      <rPr>
        <sz val="10"/>
        <rFont val="新細明體"/>
        <family val="1"/>
      </rPr>
      <t>人</t>
    </r>
    <r>
      <rPr>
        <sz val="12"/>
        <rFont val="新細明體"/>
        <family val="1"/>
      </rPr>
      <t xml:space="preserve"> )</t>
    </r>
  </si>
  <si>
    <t>科                                          刑</t>
  </si>
  <si>
    <t>免除其刑</t>
  </si>
  <si>
    <t>無罪</t>
  </si>
  <si>
    <t>免訴</t>
  </si>
  <si>
    <t>不受理</t>
  </si>
  <si>
    <t>計</t>
  </si>
  <si>
    <t>死刑</t>
  </si>
  <si>
    <t>無期徒刑</t>
  </si>
  <si>
    <t>有     期     徒     刑</t>
  </si>
  <si>
    <t>拘役</t>
  </si>
  <si>
    <t>罰金</t>
  </si>
  <si>
    <r>
      <t>六月以下</t>
    </r>
  </si>
  <si>
    <t>一年未滿
逾六月</t>
  </si>
  <si>
    <t>二年未滿
一年以上</t>
  </si>
  <si>
    <t>三年未滿
二年以上</t>
  </si>
  <si>
    <t xml:space="preserve">    民國 109年</t>
  </si>
  <si>
    <t>附表四   109年各地方檢察署執行環保刑事案件裁判確定情形</t>
  </si>
  <si>
    <t xml:space="preserve">
三年以上</t>
  </si>
  <si>
    <t>資料來源：1.法務部統計處。</t>
  </si>
  <si>
    <t xml:space="preserve">                     2. 108年1月16日修正公布名稱，原「毒性化學物質管理法」改為「毒性及關注化學物質管理法」。</t>
  </si>
  <si>
    <t>資料來源：法務部統計處。</t>
  </si>
  <si>
    <t xml:space="preserve">說　　明： 1. 本表資料不含以法人為被告案件；定罪率=有罪人數/(有罪人數+無罪人數)×100%；有罪人數包含科刑及免刑人數。 </t>
  </si>
  <si>
    <t>全  般  刑  案</t>
  </si>
  <si>
    <t xml:space="preserve">    民國 108年</t>
  </si>
  <si>
    <t xml:space="preserve">    民國 109年</t>
  </si>
  <si>
    <t>第51條：未立即採取緊急應變措施或不遵行直轄市、縣（市
）主管機關依第三十三條第二項所為之命令，因而致人於死者。
(修正前第46條)</t>
  </si>
  <si>
    <t>第52條：違反第三十一條第二項所定辦法中有關輸入或輸出限制規定者。
(修正前第59條)</t>
  </si>
  <si>
    <t>第53條：排放空氣污染物違反第二十條第二項所定標準之有害空氣污染物排放限值，足以生損害於他人之生命、身體健康者。</t>
  </si>
  <si>
    <t>第54條：申報不實或文書虛偽記載者。
(修正前第47條)</t>
  </si>
  <si>
    <t>第55條：無空氣污染防制設備或空氣污染防制設備未運作而燃燒易生特殊有害健康之物質者。
(修正前第48條)</t>
  </si>
  <si>
    <t>第55條：無空氣污染防制設備或空氣污染防制設備未運作而燃燒易生特殊有害健康之物質者。
(修正前第48條)</t>
  </si>
  <si>
    <t>第56條：公私場所不遵行主管機關依本法所為停工或停業之命令者。
(修正前第49條)</t>
  </si>
  <si>
    <t>第57條：除依規定處罰行為人外，對該法人或自然人亦科以10倍以下罰金。
(修正前第50條)</t>
  </si>
  <si>
    <t>34條：不遵行停工停業命令。</t>
  </si>
  <si>
    <t>35條：申報不實或文書虛偽記載者。</t>
  </si>
  <si>
    <t>36條：無許可文件排放超過標準有害廢水。</t>
  </si>
  <si>
    <t>39條：除依規定處罰行為人外，對該法人或自然人亦科以10倍以下罰金。</t>
  </si>
  <si>
    <t>45條：因而致人於死、重傷、致危害人體健康導致疾病、偽造、變造收費證明標誌及販賣前項收費證明標誌者。</t>
  </si>
  <si>
    <t>第1款：任意棄置有害事業廢棄物。</t>
  </si>
  <si>
    <t>第1款：任意棄置有害事業廢棄物。</t>
  </si>
  <si>
    <t>第2款：未依法貯存、清除、處理或再利用廢棄物，致污染環境。</t>
  </si>
  <si>
    <t>第2款：未依法貯存、清除、處理或再利用廢棄物，致污染環境。</t>
  </si>
  <si>
    <t>第3款：未經許可，提供土地回填、堆置廢棄物。</t>
  </si>
  <si>
    <t>第4款：未經許可或未依許可內容從事廢棄物貯存、清除、處理。</t>
  </si>
  <si>
    <t>第5款：執行機關之人員委託未取得許可文件之業者，清除、處理一般廢棄物者；或明知受託人非法清除、處理而仍委託。</t>
  </si>
  <si>
    <t>第6款：公民營廢棄物處理機構負責人或相關人員、或執行機關之人員未處理廢棄物，開具虛偽證明。</t>
  </si>
  <si>
    <t>47條：法人之負責人、法人或自然人之代理人、受僱人或其他從業人員，因執行業務犯前二條之罪者，除處罰其行為人外，對該法人或自然人亦科以各該條之罰金。</t>
  </si>
  <si>
    <t>46條：</t>
  </si>
  <si>
    <t>48條：申報不實或文書虛偽記載者。</t>
  </si>
  <si>
    <t>37條：排放廢（污）水超過放流水標準，因而致人於死、重傷、及致危害人體健康導致疾病或嚴重污染環境者。</t>
  </si>
  <si>
    <t>第51條：未立即採取緊急應變措施或不遵行直轄市、縣（市）主管機關依第三十三條第二項所為之命令，因而致人於死者。
(修正前第46條)</t>
  </si>
  <si>
    <t>全般刑案起訴率</t>
  </si>
  <si>
    <t xml:space="preserve">      全般刑案定罪率</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</si>
</sst>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00_ "/>
    <numFmt numFmtId="180" formatCode="0.00_);[Red]\(0.00\)"/>
    <numFmt numFmtId="181" formatCode="#,##0.00_ "/>
    <numFmt numFmtId="182" formatCode="0.0"/>
    <numFmt numFmtId="183" formatCode="_-* #,##0.0_-;\-* #,##0.0_-;_-* &quot;-&quot;_-;_-@_-"/>
    <numFmt numFmtId="184" formatCode="_-* #,##0.00_-;\-* #,##0.00_-;_-* &quot;-&quot;_-;_-@_-"/>
    <numFmt numFmtId="185" formatCode="#,##0;;&quot;-&quot;"/>
    <numFmt numFmtId="186" formatCode="#,##0_];;&quot;－&quot;"/>
    <numFmt numFmtId="187" formatCode="_-* ###0_-;\-* ###0_-;_-* &quot;-&quot;_-;_-@_-"/>
    <numFmt numFmtId="188" formatCode="###0;;\-"/>
    <numFmt numFmtId="189" formatCode="[$-404]AM/PM\ hh:mm:ss"/>
    <numFmt numFmtId="190" formatCode="_-* #,##0.0_-;\-* #,##0.0_-;_-* &quot;-&quot;?_-;_-@_-"/>
    <numFmt numFmtId="191" formatCode="0.0_ "/>
    <numFmt numFmtId="192" formatCode="#####0"/>
    <numFmt numFmtId="193" formatCode="#####0;\-#####0;&quot;     -&quot;"/>
    <numFmt numFmtId="194" formatCode="&quot;Yes&quot;;&quot;Yes&quot;;&quot;No&quot;"/>
    <numFmt numFmtId="195" formatCode="&quot;True&quot;;&quot;True&quot;;&quot;False&quot;"/>
    <numFmt numFmtId="196" formatCode="&quot;On&quot;;&quot;On&quot;;&quot;Off&quot;"/>
    <numFmt numFmtId="197" formatCode="[$€-2]\ #,##0.00_);[Red]\([$€-2]\ #,##0.00\)"/>
    <numFmt numFmtId="198" formatCode="#####0;\-#####0;&quot;-&quot;"/>
  </numFmts>
  <fonts count="84">
    <font>
      <sz val="12"/>
      <name val="新細明體"/>
      <family val="1"/>
    </font>
    <font>
      <b/>
      <sz val="12"/>
      <name val="新細明體"/>
      <family val="1"/>
    </font>
    <font>
      <i/>
      <sz val="12"/>
      <name val="新細明體"/>
      <family val="1"/>
    </font>
    <font>
      <b/>
      <i/>
      <sz val="12"/>
      <name val="新細明體"/>
      <family val="1"/>
    </font>
    <font>
      <sz val="9"/>
      <name val="新細明體"/>
      <family val="1"/>
    </font>
    <font>
      <b/>
      <sz val="16"/>
      <name val="新細明體"/>
      <family val="1"/>
    </font>
    <font>
      <sz val="16"/>
      <name val="新細明體"/>
      <family val="1"/>
    </font>
    <font>
      <sz val="10"/>
      <name val="新細明體"/>
      <family val="1"/>
    </font>
    <font>
      <b/>
      <sz val="10"/>
      <name val="Times New Roman"/>
      <family val="1"/>
    </font>
    <font>
      <b/>
      <sz val="10"/>
      <name val="新細明體"/>
      <family val="1"/>
    </font>
    <font>
      <sz val="8"/>
      <name val="新細明體"/>
      <family val="1"/>
    </font>
    <font>
      <sz val="8"/>
      <name val="Times New Roman"/>
      <family val="1"/>
    </font>
    <font>
      <sz val="11"/>
      <name val="新細明體"/>
      <family val="1"/>
    </font>
    <font>
      <b/>
      <sz val="9"/>
      <name val="新細明體"/>
      <family val="1"/>
    </font>
    <font>
      <b/>
      <sz val="11"/>
      <name val="新細明體"/>
      <family val="1"/>
    </font>
    <font>
      <b/>
      <sz val="8"/>
      <name val="新細明體"/>
      <family val="1"/>
    </font>
    <font>
      <b/>
      <sz val="8"/>
      <name val="Times New Roman"/>
      <family val="1"/>
    </font>
    <font>
      <sz val="8"/>
      <name val="細明體"/>
      <family val="3"/>
    </font>
    <font>
      <b/>
      <sz val="7"/>
      <name val="新細明體"/>
      <family val="1"/>
    </font>
    <font>
      <sz val="9"/>
      <name val="Times New Roman"/>
      <family val="1"/>
    </font>
    <font>
      <u val="single"/>
      <sz val="12"/>
      <color indexed="12"/>
      <name val="新細明體"/>
      <family val="1"/>
    </font>
    <font>
      <u val="single"/>
      <sz val="12"/>
      <color indexed="36"/>
      <name val="新細明體"/>
      <family val="1"/>
    </font>
    <font>
      <b/>
      <sz val="8"/>
      <name val="細明體"/>
      <family val="3"/>
    </font>
    <font>
      <sz val="10"/>
      <name val="Times New Roman"/>
      <family val="1"/>
    </font>
    <font>
      <b/>
      <sz val="14"/>
      <name val="新細明體"/>
      <family val="1"/>
    </font>
    <font>
      <b/>
      <sz val="15"/>
      <name val="新細明體"/>
      <family val="1"/>
    </font>
    <font>
      <b/>
      <sz val="9"/>
      <name val="Times New Roman"/>
      <family val="1"/>
    </font>
    <font>
      <b/>
      <sz val="9"/>
      <name val="細明體"/>
      <family val="3"/>
    </font>
    <font>
      <sz val="9"/>
      <name val="細明體"/>
      <family val="3"/>
    </font>
    <font>
      <sz val="12"/>
      <color indexed="8"/>
      <name val="新細明體"/>
      <family val="1"/>
    </font>
    <font>
      <sz val="10"/>
      <name val="細明體"/>
      <family val="3"/>
    </font>
    <font>
      <sz val="9"/>
      <name val="Tahoma"/>
      <family val="2"/>
    </font>
    <font>
      <b/>
      <sz val="10"/>
      <color indexed="10"/>
      <name val="新細明體"/>
      <family val="1"/>
    </font>
    <font>
      <b/>
      <sz val="10"/>
      <color indexed="8"/>
      <name val="新細明體"/>
      <family val="1"/>
    </font>
    <font>
      <sz val="8"/>
      <color indexed="10"/>
      <name val="新細明體"/>
      <family val="1"/>
    </font>
    <font>
      <b/>
      <sz val="16"/>
      <color indexed="10"/>
      <name val="新細明體"/>
      <family val="1"/>
    </font>
    <font>
      <b/>
      <sz val="15"/>
      <color indexed="10"/>
      <name val="新細明體"/>
      <family val="1"/>
    </font>
    <font>
      <sz val="16"/>
      <name val="Times New Roman"/>
      <family val="1"/>
    </font>
    <font>
      <sz val="12"/>
      <name val="Times New Roman"/>
      <family val="1"/>
    </font>
    <font>
      <b/>
      <sz val="1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8"/>
      <color indexed="10"/>
      <name val="新細明體"/>
      <family val="1"/>
    </font>
    <font>
      <sz val="1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color rgb="FFFF0000"/>
      <name val="新細明體"/>
      <family val="1"/>
    </font>
    <font>
      <b/>
      <sz val="10"/>
      <color theme="1"/>
      <name val="新細明體"/>
      <family val="1"/>
    </font>
    <font>
      <sz val="8"/>
      <color rgb="FFFF0000"/>
      <name val="新細明體"/>
      <family val="1"/>
    </font>
    <font>
      <sz val="10"/>
      <name val="Calibri"/>
      <family val="1"/>
    </font>
    <font>
      <sz val="18"/>
      <name val="Calibri"/>
      <family val="1"/>
    </font>
    <font>
      <sz val="11"/>
      <name val="Calibri"/>
      <family val="1"/>
    </font>
    <font>
      <b/>
      <sz val="18"/>
      <name val="Calibri"/>
      <family val="1"/>
    </font>
    <font>
      <sz val="10"/>
      <color theme="1"/>
      <name val="新細明體"/>
      <family val="1"/>
    </font>
  </fonts>
  <fills count="4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color indexed="63"/>
      </right>
      <top style="thin"/>
      <bottom style="thin"/>
    </border>
    <border>
      <left style="thin"/>
      <right>
        <color indexed="63"/>
      </right>
      <top style="thin"/>
      <bottom>
        <color indexed="63"/>
      </botto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thin"/>
      <right style="medium"/>
      <top>
        <color indexed="63"/>
      </top>
      <bottom style="medium"/>
    </border>
    <border>
      <left/>
      <right style="thin"/>
      <top style="thin"/>
      <bottom/>
    </border>
    <border>
      <left style="thin"/>
      <right style="thin"/>
      <top style="thin"/>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bottom style="hair"/>
    </border>
    <border>
      <left style="thin"/>
      <right style="thin"/>
      <top style="hair"/>
      <bottom/>
    </border>
    <border>
      <left style="thin"/>
      <right style="thin"/>
      <top style="hair"/>
      <bottom style="thin"/>
    </border>
    <border>
      <left style="thin"/>
      <right/>
      <top/>
      <bottom style="hair"/>
    </border>
    <border>
      <left style="thin"/>
      <right/>
      <top style="hair"/>
      <bottom/>
    </border>
    <border>
      <left style="thin"/>
      <right/>
      <top style="hair"/>
      <bottom style="thin"/>
    </border>
    <border>
      <left style="thin"/>
      <right style="thin"/>
      <top style="thin"/>
      <bottom style="hair"/>
    </border>
    <border>
      <left style="thin"/>
      <right style="thin"/>
      <top style="hair"/>
      <bottom style="hair"/>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29" fillId="3" borderId="0" applyNumberFormat="0" applyBorder="0" applyAlignment="0" applyProtection="0"/>
    <xf numFmtId="0" fontId="59" fillId="4" borderId="0" applyNumberFormat="0" applyBorder="0" applyAlignment="0" applyProtection="0"/>
    <xf numFmtId="0" fontId="29" fillId="5" borderId="0" applyNumberFormat="0" applyBorder="0" applyAlignment="0" applyProtection="0"/>
    <xf numFmtId="0" fontId="59" fillId="6" borderId="0" applyNumberFormat="0" applyBorder="0" applyAlignment="0" applyProtection="0"/>
    <xf numFmtId="0" fontId="29" fillId="5" borderId="0" applyNumberFormat="0" applyBorder="0" applyAlignment="0" applyProtection="0"/>
    <xf numFmtId="0" fontId="59" fillId="7" borderId="0" applyNumberFormat="0" applyBorder="0" applyAlignment="0" applyProtection="0"/>
    <xf numFmtId="0" fontId="29" fillId="8" borderId="0" applyNumberFormat="0" applyBorder="0" applyAlignment="0" applyProtection="0"/>
    <xf numFmtId="0" fontId="59" fillId="9" borderId="0" applyNumberFormat="0" applyBorder="0" applyAlignment="0" applyProtection="0"/>
    <xf numFmtId="0" fontId="29" fillId="3" borderId="0" applyNumberFormat="0" applyBorder="0" applyAlignment="0" applyProtection="0"/>
    <xf numFmtId="0" fontId="59" fillId="10" borderId="0" applyNumberFormat="0" applyBorder="0" applyAlignment="0" applyProtection="0"/>
    <xf numFmtId="0" fontId="30" fillId="0" borderId="0" applyNumberFormat="0" applyBorder="0" applyAlignment="0" applyProtection="0"/>
    <xf numFmtId="0" fontId="59" fillId="11" borderId="0" applyNumberFormat="0" applyBorder="0" applyAlignment="0" applyProtection="0"/>
    <xf numFmtId="0" fontId="30" fillId="0" borderId="0" applyNumberFormat="0" applyBorder="0" applyAlignment="0" applyProtection="0"/>
    <xf numFmtId="0" fontId="59" fillId="12" borderId="0" applyNumberFormat="0" applyBorder="0" applyAlignment="0" applyProtection="0"/>
    <xf numFmtId="0" fontId="30" fillId="0" borderId="0" applyNumberFormat="0" applyBorder="0" applyAlignment="0" applyProtection="0"/>
    <xf numFmtId="0" fontId="59" fillId="13" borderId="0" applyNumberFormat="0" applyBorder="0" applyAlignment="0" applyProtection="0"/>
    <xf numFmtId="0" fontId="30" fillId="0" borderId="0" applyNumberFormat="0" applyBorder="0" applyAlignment="0" applyProtection="0"/>
    <xf numFmtId="0" fontId="59" fillId="14" borderId="0" applyNumberFormat="0" applyBorder="0" applyAlignment="0" applyProtection="0"/>
    <xf numFmtId="0" fontId="30" fillId="0" borderId="0" applyNumberFormat="0" applyBorder="0" applyAlignment="0" applyProtection="0"/>
    <xf numFmtId="0" fontId="59" fillId="15" borderId="0" applyNumberFormat="0" applyBorder="0" applyAlignment="0" applyProtection="0"/>
    <xf numFmtId="0" fontId="30" fillId="0" borderId="0" applyNumberFormat="0" applyBorder="0" applyAlignment="0" applyProtection="0"/>
    <xf numFmtId="0" fontId="59" fillId="16" borderId="0" applyNumberFormat="0" applyBorder="0" applyAlignment="0" applyProtection="0"/>
    <xf numFmtId="0" fontId="30" fillId="0" borderId="0" applyNumberFormat="0" applyBorder="0" applyAlignment="0" applyProtection="0"/>
    <xf numFmtId="0" fontId="60" fillId="17" borderId="0" applyNumberFormat="0" applyBorder="0" applyAlignment="0" applyProtection="0"/>
    <xf numFmtId="0" fontId="30" fillId="0" borderId="0" applyNumberFormat="0" applyBorder="0" applyAlignment="0" applyProtection="0"/>
    <xf numFmtId="0" fontId="60" fillId="18" borderId="0" applyNumberFormat="0" applyBorder="0" applyAlignment="0" applyProtection="0"/>
    <xf numFmtId="0" fontId="30" fillId="0" borderId="0" applyNumberFormat="0" applyBorder="0" applyAlignment="0" applyProtection="0"/>
    <xf numFmtId="0" fontId="60" fillId="19" borderId="0" applyNumberFormat="0" applyBorder="0" applyAlignment="0" applyProtection="0"/>
    <xf numFmtId="0" fontId="30" fillId="0" borderId="0" applyNumberFormat="0" applyBorder="0" applyAlignment="0" applyProtection="0"/>
    <xf numFmtId="0" fontId="60" fillId="20" borderId="0" applyNumberFormat="0" applyBorder="0" applyAlignment="0" applyProtection="0"/>
    <xf numFmtId="0" fontId="30" fillId="0" borderId="0" applyNumberFormat="0" applyBorder="0" applyAlignment="0" applyProtection="0"/>
    <xf numFmtId="0" fontId="60" fillId="21" borderId="0" applyNumberFormat="0" applyBorder="0" applyAlignment="0" applyProtection="0"/>
    <xf numFmtId="0" fontId="30" fillId="0" borderId="0" applyNumberFormat="0" applyBorder="0" applyAlignment="0" applyProtection="0"/>
    <xf numFmtId="0" fontId="60" fillId="22" borderId="0" applyNumberFormat="0" applyBorder="0" applyAlignment="0" applyProtection="0"/>
    <xf numFmtId="0" fontId="30" fillId="0" borderId="0" applyNumberFormat="0" applyBorder="0" applyAlignment="0" applyProtection="0"/>
    <xf numFmtId="0" fontId="30" fillId="0" borderId="0">
      <alignment/>
      <protection/>
    </xf>
    <xf numFmtId="0" fontId="0" fillId="0" borderId="0">
      <alignment vertical="center"/>
      <protection/>
    </xf>
    <xf numFmtId="0" fontId="0" fillId="0" borderId="0">
      <alignment vertical="center"/>
      <protection/>
    </xf>
    <xf numFmtId="0" fontId="3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0" fontId="61" fillId="23" borderId="0" applyNumberFormat="0" applyBorder="0" applyAlignment="0" applyProtection="0"/>
    <xf numFmtId="0" fontId="30" fillId="0" borderId="0" applyNumberFormat="0" applyBorder="0" applyAlignment="0" applyProtection="0"/>
    <xf numFmtId="0" fontId="62" fillId="0" borderId="1" applyNumberFormat="0" applyFill="0" applyAlignment="0" applyProtection="0"/>
    <xf numFmtId="0" fontId="30" fillId="0" borderId="0" applyNumberFormat="0" applyFill="0" applyAlignment="0" applyProtection="0"/>
    <xf numFmtId="0" fontId="63" fillId="24" borderId="0" applyNumberFormat="0" applyBorder="0" applyAlignment="0" applyProtection="0"/>
    <xf numFmtId="0" fontId="30" fillId="0" borderId="0" applyNumberFormat="0" applyBorder="0" applyAlignment="0" applyProtection="0"/>
    <xf numFmtId="9" fontId="0" fillId="0" borderId="0" applyFont="0" applyFill="0" applyBorder="0" applyAlignment="0" applyProtection="0"/>
    <xf numFmtId="0" fontId="64" fillId="25" borderId="2" applyNumberFormat="0" applyAlignment="0" applyProtection="0"/>
    <xf numFmtId="0" fontId="30"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30" fillId="0" borderId="0" applyNumberFormat="0" applyFill="0" applyAlignment="0" applyProtection="0"/>
    <xf numFmtId="0" fontId="0" fillId="26" borderId="4" applyNumberFormat="0" applyFont="0" applyAlignment="0" applyProtection="0"/>
    <xf numFmtId="0" fontId="30" fillId="0" borderId="0" applyNumberFormat="0" applyFont="0" applyAlignment="0" applyProtection="0"/>
    <xf numFmtId="0" fontId="20"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60" fillId="27" borderId="0" applyNumberFormat="0" applyBorder="0" applyAlignment="0" applyProtection="0"/>
    <xf numFmtId="0" fontId="30" fillId="0" borderId="0" applyNumberFormat="0" applyBorder="0" applyAlignment="0" applyProtection="0"/>
    <xf numFmtId="0" fontId="60" fillId="28" borderId="0" applyNumberFormat="0" applyBorder="0" applyAlignment="0" applyProtection="0"/>
    <xf numFmtId="0" fontId="30" fillId="0" borderId="0" applyNumberFormat="0" applyBorder="0" applyAlignment="0" applyProtection="0"/>
    <xf numFmtId="0" fontId="60" fillId="29" borderId="0" applyNumberFormat="0" applyBorder="0" applyAlignment="0" applyProtection="0"/>
    <xf numFmtId="0" fontId="30" fillId="0" borderId="0" applyNumberFormat="0" applyBorder="0" applyAlignment="0" applyProtection="0"/>
    <xf numFmtId="0" fontId="60" fillId="30" borderId="0" applyNumberFormat="0" applyBorder="0" applyAlignment="0" applyProtection="0"/>
    <xf numFmtId="0" fontId="30" fillId="0" borderId="0" applyNumberFormat="0" applyBorder="0" applyAlignment="0" applyProtection="0"/>
    <xf numFmtId="0" fontId="60" fillId="31" borderId="0" applyNumberFormat="0" applyBorder="0" applyAlignment="0" applyProtection="0"/>
    <xf numFmtId="0" fontId="30" fillId="0" borderId="0" applyNumberFormat="0" applyBorder="0" applyAlignment="0" applyProtection="0"/>
    <xf numFmtId="0" fontId="60" fillId="32" borderId="0" applyNumberFormat="0" applyBorder="0" applyAlignment="0" applyProtection="0"/>
    <xf numFmtId="0" fontId="30" fillId="0"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30" fillId="0" borderId="0" applyNumberFormat="0" applyFill="0" applyAlignment="0" applyProtection="0"/>
    <xf numFmtId="0" fontId="69" fillId="0" borderId="6" applyNumberFormat="0" applyFill="0" applyAlignment="0" applyProtection="0"/>
    <xf numFmtId="0" fontId="30" fillId="0" borderId="0" applyNumberFormat="0" applyFill="0" applyAlignment="0" applyProtection="0"/>
    <xf numFmtId="0" fontId="70" fillId="0" borderId="7" applyNumberFormat="0" applyFill="0" applyAlignment="0" applyProtection="0"/>
    <xf numFmtId="0" fontId="30" fillId="0" borderId="0" applyNumberFormat="0" applyFill="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1" fillId="33" borderId="2" applyNumberFormat="0" applyAlignment="0" applyProtection="0"/>
    <xf numFmtId="0" fontId="30" fillId="0" borderId="0" applyNumberFormat="0" applyAlignment="0" applyProtection="0"/>
    <xf numFmtId="0" fontId="72" fillId="25" borderId="8" applyNumberFormat="0" applyAlignment="0" applyProtection="0"/>
    <xf numFmtId="0" fontId="30" fillId="0" borderId="0" applyNumberFormat="0" applyAlignment="0" applyProtection="0"/>
    <xf numFmtId="0" fontId="73" fillId="34" borderId="9" applyNumberFormat="0" applyAlignment="0" applyProtection="0"/>
    <xf numFmtId="0" fontId="30" fillId="0" borderId="0" applyNumberFormat="0" applyAlignment="0" applyProtection="0"/>
    <xf numFmtId="0" fontId="74" fillId="35" borderId="0" applyNumberFormat="0" applyBorder="0" applyAlignment="0" applyProtection="0"/>
    <xf numFmtId="0" fontId="30" fillId="0" borderId="0" applyNumberFormat="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cellStyleXfs>
  <cellXfs count="515">
    <xf numFmtId="0" fontId="0" fillId="0" borderId="0" xfId="0" applyAlignment="1">
      <alignment/>
    </xf>
    <xf numFmtId="0" fontId="5" fillId="0" borderId="0" xfId="0" applyFont="1" applyAlignment="1" quotePrefix="1">
      <alignment horizontal="centerContinuous" vertical="center"/>
    </xf>
    <xf numFmtId="0" fontId="0" fillId="0" borderId="0" xfId="0" applyFont="1" applyAlignment="1">
      <alignment horizontal="centerContinuous" vertical="center"/>
    </xf>
    <xf numFmtId="0" fontId="6" fillId="0" borderId="0" xfId="0" applyFont="1" applyAlignment="1" quotePrefix="1">
      <alignment horizontal="centerContinuous" vertical="center"/>
    </xf>
    <xf numFmtId="0" fontId="6" fillId="0" borderId="0" xfId="0" applyFont="1" applyAlignment="1">
      <alignment horizontal="centerContinuous" vertical="center"/>
    </xf>
    <xf numFmtId="0" fontId="0" fillId="0" borderId="0" xfId="0" applyFont="1" applyAlignment="1">
      <alignment vertical="center"/>
    </xf>
    <xf numFmtId="0" fontId="0" fillId="0" borderId="0" xfId="0" applyFont="1" applyBorder="1" applyAlignment="1" quotePrefix="1">
      <alignment horizontal="centerContinuous" vertical="center"/>
    </xf>
    <xf numFmtId="0" fontId="0" fillId="0" borderId="0" xfId="0" applyFont="1" applyBorder="1" applyAlignment="1">
      <alignment horizontal="centerContinuous" vertical="center"/>
    </xf>
    <xf numFmtId="2" fontId="7" fillId="0" borderId="0" xfId="0" applyNumberFormat="1" applyFont="1" applyBorder="1" applyAlignment="1">
      <alignment horizontal="right"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0" fontId="7" fillId="0" borderId="0" xfId="0" applyFont="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Continuous" vertical="center"/>
    </xf>
    <xf numFmtId="0" fontId="9" fillId="0" borderId="14" xfId="0" applyFont="1" applyBorder="1" applyAlignment="1">
      <alignment horizontal="centerContinuous"/>
    </xf>
    <xf numFmtId="0" fontId="9" fillId="0" borderId="15" xfId="0" applyFont="1" applyBorder="1" applyAlignment="1">
      <alignment horizontal="centerContinuous"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36" borderId="19" xfId="0" applyFont="1" applyFill="1" applyBorder="1" applyAlignment="1">
      <alignment vertical="center"/>
    </xf>
    <xf numFmtId="41" fontId="7" fillId="36" borderId="0" xfId="0" applyNumberFormat="1" applyFont="1" applyFill="1" applyBorder="1" applyAlignment="1">
      <alignment vertical="center"/>
    </xf>
    <xf numFmtId="0" fontId="7" fillId="0" borderId="0" xfId="0" applyFont="1" applyFill="1" applyAlignment="1">
      <alignment vertical="center"/>
    </xf>
    <xf numFmtId="41" fontId="7" fillId="0" borderId="0" xfId="0" applyNumberFormat="1" applyFont="1" applyBorder="1" applyAlignment="1">
      <alignment vertical="center"/>
    </xf>
    <xf numFmtId="0" fontId="10" fillId="0" borderId="19" xfId="0" applyFont="1" applyBorder="1" applyAlignment="1">
      <alignment vertical="center"/>
    </xf>
    <xf numFmtId="0" fontId="10" fillId="0" borderId="19" xfId="0" applyFont="1" applyFill="1" applyBorder="1" applyAlignment="1" quotePrefix="1">
      <alignment horizontal="left" vertical="center"/>
    </xf>
    <xf numFmtId="0" fontId="11" fillId="0" borderId="19" xfId="0" applyFont="1" applyBorder="1" applyAlignment="1">
      <alignment vertical="center"/>
    </xf>
    <xf numFmtId="0" fontId="10" fillId="0" borderId="19" xfId="0" applyFont="1" applyFill="1" applyBorder="1" applyAlignment="1">
      <alignment vertical="center"/>
    </xf>
    <xf numFmtId="41" fontId="7" fillId="0" borderId="0" xfId="0" applyNumberFormat="1" applyFont="1" applyFill="1" applyBorder="1" applyAlignment="1">
      <alignment vertical="center"/>
    </xf>
    <xf numFmtId="0" fontId="9" fillId="36" borderId="19" xfId="0" applyFont="1" applyFill="1" applyBorder="1" applyAlignment="1">
      <alignment horizontal="left" vertical="center"/>
    </xf>
    <xf numFmtId="0" fontId="9" fillId="36" borderId="20" xfId="0" applyFont="1" applyFill="1" applyBorder="1" applyAlignment="1">
      <alignment vertical="center"/>
    </xf>
    <xf numFmtId="41" fontId="7" fillId="36" borderId="16" xfId="0" applyNumberFormat="1" applyFont="1" applyFill="1" applyBorder="1" applyAlignment="1">
      <alignment vertical="center"/>
    </xf>
    <xf numFmtId="0" fontId="12" fillId="0" borderId="0" xfId="0" applyFont="1" applyFill="1" applyAlignment="1">
      <alignment vertical="center"/>
    </xf>
    <xf numFmtId="0" fontId="4"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 fillId="0" borderId="0" xfId="0" applyFont="1" applyAlignment="1">
      <alignment horizontal="centerContinuous" vertical="center"/>
    </xf>
    <xf numFmtId="2" fontId="1" fillId="0" borderId="0" xfId="0" applyNumberFormat="1" applyFont="1" applyAlignment="1">
      <alignment horizontal="centerContinuous" vertical="center"/>
    </xf>
    <xf numFmtId="0" fontId="5" fillId="0" borderId="0" xfId="0" applyFont="1" applyAlignment="1">
      <alignment horizontal="centerContinuous" vertical="center"/>
    </xf>
    <xf numFmtId="0" fontId="0" fillId="0" borderId="0" xfId="0" applyFont="1" applyFill="1" applyAlignment="1">
      <alignment vertical="center"/>
    </xf>
    <xf numFmtId="0" fontId="1" fillId="0" borderId="0" xfId="0" applyFont="1" applyBorder="1" applyAlignment="1">
      <alignment horizontal="centerContinuous" vertical="center"/>
    </xf>
    <xf numFmtId="0" fontId="0" fillId="0" borderId="0" xfId="0" applyFont="1" applyFill="1" applyAlignment="1">
      <alignment horizontal="center" vertical="center"/>
    </xf>
    <xf numFmtId="0" fontId="0" fillId="0" borderId="0" xfId="0" applyFont="1" applyBorder="1" applyAlignment="1" quotePrefix="1">
      <alignment vertical="center"/>
    </xf>
    <xf numFmtId="0" fontId="0" fillId="0" borderId="0" xfId="0" applyFont="1" applyAlignment="1">
      <alignment horizontal="center" vertical="center"/>
    </xf>
    <xf numFmtId="2" fontId="0" fillId="0" borderId="0" xfId="0" applyNumberFormat="1" applyFont="1" applyBorder="1" applyAlignment="1">
      <alignment horizontal="centerContinuous"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4" fillId="0" borderId="0" xfId="0" applyFont="1" applyFill="1" applyAlignment="1">
      <alignment horizontal="center" vertical="center"/>
    </xf>
    <xf numFmtId="0" fontId="13" fillId="0" borderId="13" xfId="0" applyFont="1" applyFill="1" applyBorder="1" applyAlignment="1">
      <alignment horizontal="center" vertical="center"/>
    </xf>
    <xf numFmtId="0" fontId="13" fillId="0" borderId="24" xfId="0" applyFont="1" applyFill="1" applyBorder="1" applyAlignment="1">
      <alignment horizontal="center" vertical="center"/>
    </xf>
    <xf numFmtId="0" fontId="9" fillId="36" borderId="25" xfId="0" applyFont="1" applyFill="1" applyBorder="1" applyAlignment="1">
      <alignment vertical="center"/>
    </xf>
    <xf numFmtId="41" fontId="7" fillId="36" borderId="21" xfId="0" applyNumberFormat="1" applyFont="1" applyFill="1" applyBorder="1" applyAlignment="1">
      <alignment vertical="center"/>
    </xf>
    <xf numFmtId="0" fontId="7" fillId="36" borderId="0" xfId="0" applyFont="1" applyFill="1" applyAlignment="1">
      <alignment vertical="center"/>
    </xf>
    <xf numFmtId="41" fontId="7" fillId="0" borderId="0" xfId="0" applyNumberFormat="1" applyFont="1" applyAlignment="1">
      <alignment vertical="center"/>
    </xf>
    <xf numFmtId="41" fontId="7" fillId="36" borderId="0" xfId="0" applyNumberFormat="1" applyFont="1" applyFill="1" applyAlignment="1">
      <alignment vertical="center"/>
    </xf>
    <xf numFmtId="41" fontId="7" fillId="36" borderId="26" xfId="0" applyNumberFormat="1" applyFont="1" applyFill="1" applyBorder="1" applyAlignment="1">
      <alignment vertical="center"/>
    </xf>
    <xf numFmtId="41" fontId="7" fillId="0" borderId="0" xfId="0" applyNumberFormat="1" applyFont="1" applyBorder="1" applyAlignment="1">
      <alignment horizontal="right" vertical="center"/>
    </xf>
    <xf numFmtId="0" fontId="12"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5" fillId="0" borderId="0" xfId="0" applyFont="1" applyFill="1" applyAlignment="1" quotePrefix="1">
      <alignment horizontal="centerContinuous" vertical="center"/>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2" fontId="1" fillId="0" borderId="0" xfId="0" applyNumberFormat="1" applyFont="1" applyFill="1" applyAlignment="1">
      <alignment horizontal="centerContinuous" vertical="center"/>
    </xf>
    <xf numFmtId="0" fontId="6" fillId="0" borderId="0" xfId="0" applyFont="1" applyFill="1" applyAlignment="1">
      <alignment horizontal="left" vertical="center"/>
    </xf>
    <xf numFmtId="0" fontId="1" fillId="0" borderId="0" xfId="0" applyFont="1" applyFill="1" applyAlignment="1">
      <alignment vertical="center"/>
    </xf>
    <xf numFmtId="2" fontId="1" fillId="0" borderId="0" xfId="0" applyNumberFormat="1" applyFont="1" applyFill="1" applyAlignment="1">
      <alignment vertical="center"/>
    </xf>
    <xf numFmtId="0" fontId="1" fillId="0" borderId="0" xfId="0" applyFont="1" applyFill="1" applyBorder="1" applyAlignment="1">
      <alignment vertical="center"/>
    </xf>
    <xf numFmtId="0" fontId="14" fillId="0" borderId="10" xfId="0" applyFont="1" applyFill="1" applyBorder="1" applyAlignment="1">
      <alignment horizontal="centerContinuous" vertical="center"/>
    </xf>
    <xf numFmtId="0" fontId="14" fillId="0" borderId="11" xfId="0" applyFont="1" applyFill="1" applyBorder="1" applyAlignment="1">
      <alignment horizontal="centerContinuous" vertical="center"/>
    </xf>
    <xf numFmtId="2" fontId="14" fillId="0" borderId="27"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5" fillId="0" borderId="25" xfId="0" applyFont="1" applyFill="1" applyBorder="1" applyAlignment="1">
      <alignment vertical="center"/>
    </xf>
    <xf numFmtId="41" fontId="15" fillId="0" borderId="21" xfId="0" applyNumberFormat="1" applyFont="1" applyFill="1" applyBorder="1" applyAlignment="1">
      <alignment vertical="center"/>
    </xf>
    <xf numFmtId="41" fontId="15" fillId="0" borderId="21" xfId="0" applyNumberFormat="1" applyFont="1" applyFill="1" applyBorder="1" applyAlignment="1">
      <alignment horizontal="right" vertical="center"/>
    </xf>
    <xf numFmtId="184" fontId="15" fillId="0" borderId="21" xfId="0" applyNumberFormat="1" applyFont="1" applyFill="1" applyBorder="1" applyAlignment="1">
      <alignment horizontal="right" vertical="center"/>
    </xf>
    <xf numFmtId="178" fontId="7" fillId="0" borderId="0" xfId="0" applyNumberFormat="1" applyFont="1" applyFill="1" applyAlignment="1">
      <alignment vertical="center"/>
    </xf>
    <xf numFmtId="179" fontId="7" fillId="0" borderId="0" xfId="0" applyNumberFormat="1" applyFont="1" applyFill="1" applyAlignment="1">
      <alignment vertical="center"/>
    </xf>
    <xf numFmtId="41" fontId="15" fillId="0" borderId="0" xfId="0" applyNumberFormat="1" applyFont="1" applyFill="1" applyBorder="1" applyAlignment="1">
      <alignment vertical="center"/>
    </xf>
    <xf numFmtId="41" fontId="16" fillId="0" borderId="0"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184" fontId="15" fillId="0" borderId="0" xfId="0" applyNumberFormat="1" applyFont="1" applyFill="1" applyBorder="1" applyAlignment="1">
      <alignment horizontal="right" vertical="center"/>
    </xf>
    <xf numFmtId="41" fontId="15" fillId="0" borderId="0" xfId="0" applyNumberFormat="1" applyFont="1" applyFill="1" applyBorder="1" applyAlignment="1" quotePrefix="1">
      <alignment horizontal="right" vertical="center"/>
    </xf>
    <xf numFmtId="0" fontId="10" fillId="0" borderId="19" xfId="0" applyFont="1" applyFill="1" applyBorder="1" applyAlignment="1">
      <alignment horizontal="left" vertical="center"/>
    </xf>
    <xf numFmtId="41" fontId="15" fillId="0" borderId="0" xfId="0" applyNumberFormat="1" applyFont="1" applyBorder="1" applyAlignment="1">
      <alignment vertical="center"/>
    </xf>
    <xf numFmtId="0" fontId="11" fillId="0" borderId="19" xfId="0" applyFont="1" applyFill="1" applyBorder="1" applyAlignment="1">
      <alignment horizontal="left" vertical="center"/>
    </xf>
    <xf numFmtId="0" fontId="15" fillId="0" borderId="19" xfId="0" applyFont="1" applyFill="1" applyBorder="1" applyAlignment="1">
      <alignment vertical="center"/>
    </xf>
    <xf numFmtId="0" fontId="15" fillId="0" borderId="19" xfId="0" applyFont="1" applyFill="1" applyBorder="1" applyAlignment="1">
      <alignment horizontal="left" vertical="center"/>
    </xf>
    <xf numFmtId="2" fontId="12" fillId="0" borderId="0" xfId="0" applyNumberFormat="1" applyFont="1" applyFill="1" applyAlignment="1">
      <alignment vertical="center"/>
    </xf>
    <xf numFmtId="2" fontId="0" fillId="0" borderId="0" xfId="0" applyNumberFormat="1" applyFont="1" applyFill="1" applyAlignment="1">
      <alignment vertical="center"/>
    </xf>
    <xf numFmtId="179" fontId="7" fillId="0" borderId="0" xfId="0" applyNumberFormat="1" applyFont="1" applyFill="1" applyAlignment="1">
      <alignment horizontal="right" vertical="center"/>
    </xf>
    <xf numFmtId="184" fontId="15" fillId="0" borderId="0" xfId="0" applyNumberFormat="1" applyFont="1" applyFill="1" applyBorder="1" applyAlignment="1">
      <alignment vertical="center"/>
    </xf>
    <xf numFmtId="41" fontId="15" fillId="0" borderId="0" xfId="0" applyNumberFormat="1" applyFont="1" applyFill="1" applyAlignment="1">
      <alignment vertical="center"/>
    </xf>
    <xf numFmtId="0" fontId="7" fillId="0" borderId="0" xfId="0" applyFont="1" applyFill="1" applyBorder="1" applyAlignment="1">
      <alignment vertical="center"/>
    </xf>
    <xf numFmtId="186" fontId="15" fillId="0" borderId="0" xfId="0" applyNumberFormat="1" applyFont="1" applyBorder="1" applyAlignment="1">
      <alignment vertical="center"/>
    </xf>
    <xf numFmtId="0" fontId="13" fillId="0" borderId="21" xfId="0" applyFont="1" applyBorder="1" applyAlignment="1">
      <alignment horizontal="distributed" vertical="center"/>
    </xf>
    <xf numFmtId="0" fontId="13" fillId="0" borderId="25"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distributed" vertical="center"/>
    </xf>
    <xf numFmtId="0" fontId="13" fillId="0" borderId="19"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Continuous" vertical="center"/>
    </xf>
    <xf numFmtId="0" fontId="13" fillId="0" borderId="19" xfId="0" applyFont="1" applyBorder="1" applyAlignment="1">
      <alignment horizontal="centerContinuous" vertical="center"/>
    </xf>
    <xf numFmtId="0" fontId="13" fillId="0" borderId="16" xfId="0" applyFont="1" applyBorder="1" applyAlignment="1">
      <alignment horizontal="distributed"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5" fillId="0" borderId="0" xfId="0" applyFont="1" applyBorder="1" applyAlignment="1">
      <alignment horizontal="distributed"/>
    </xf>
    <xf numFmtId="0" fontId="13" fillId="0" borderId="18"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xf>
    <xf numFmtId="0" fontId="1" fillId="0" borderId="0" xfId="0" applyFont="1" applyAlignment="1">
      <alignment horizontal="center" vertical="center"/>
    </xf>
    <xf numFmtId="0" fontId="1" fillId="0" borderId="0" xfId="0" applyFont="1" applyBorder="1" applyAlignment="1" quotePrefix="1">
      <alignment horizontal="left" vertical="center"/>
    </xf>
    <xf numFmtId="0" fontId="14" fillId="0" borderId="0" xfId="0" applyFont="1" applyBorder="1" applyAlignment="1">
      <alignment horizontal="center" vertical="center"/>
    </xf>
    <xf numFmtId="2" fontId="9" fillId="0" borderId="0" xfId="0" applyNumberFormat="1" applyFont="1" applyBorder="1" applyAlignment="1">
      <alignment horizontal="right" vertical="center"/>
    </xf>
    <xf numFmtId="0" fontId="13" fillId="0" borderId="0" xfId="0" applyFont="1" applyAlignment="1">
      <alignment horizontal="center" vertical="center"/>
    </xf>
    <xf numFmtId="41" fontId="13" fillId="0" borderId="0" xfId="55" applyNumberFormat="1" applyFont="1" applyAlignment="1">
      <alignment horizontal="right"/>
    </xf>
    <xf numFmtId="0" fontId="13" fillId="0" borderId="0" xfId="0" applyFont="1" applyAlignment="1">
      <alignment/>
    </xf>
    <xf numFmtId="0" fontId="13" fillId="0" borderId="0" xfId="0" applyFont="1" applyFill="1" applyAlignment="1">
      <alignment/>
    </xf>
    <xf numFmtId="0" fontId="13" fillId="0" borderId="0" xfId="0" applyFont="1" applyAlignment="1">
      <alignment vertical="center"/>
    </xf>
    <xf numFmtId="0" fontId="1" fillId="0" borderId="0" xfId="0" applyFont="1" applyAlignment="1">
      <alignment horizontal="distributed" vertical="center"/>
    </xf>
    <xf numFmtId="1" fontId="13" fillId="0" borderId="0" xfId="55" applyNumberFormat="1" applyFont="1" applyAlignment="1">
      <alignment horizontal="right"/>
    </xf>
    <xf numFmtId="0" fontId="13" fillId="0" borderId="0" xfId="0" applyFont="1" applyAlignment="1">
      <alignment horizontal="right"/>
    </xf>
    <xf numFmtId="0" fontId="15" fillId="0" borderId="16" xfId="0" applyFont="1" applyFill="1" applyBorder="1" applyAlignment="1">
      <alignment horizontal="center" vertical="center"/>
    </xf>
    <xf numFmtId="0" fontId="5" fillId="0" borderId="0" xfId="0" applyFont="1" applyFill="1" applyAlignment="1">
      <alignment horizontal="centerContinuous"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3" xfId="0" applyFont="1" applyFill="1" applyBorder="1" applyAlignment="1" quotePrefix="1">
      <alignment horizontal="center" vertical="center"/>
    </xf>
    <xf numFmtId="49" fontId="11" fillId="0" borderId="17"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1" fontId="15" fillId="0" borderId="0" xfId="0" applyNumberFormat="1" applyFont="1" applyAlignment="1">
      <alignment vertical="center"/>
    </xf>
    <xf numFmtId="0" fontId="15" fillId="0" borderId="28" xfId="0" applyFont="1" applyFill="1" applyBorder="1" applyAlignment="1">
      <alignment horizontal="left" vertical="center"/>
    </xf>
    <xf numFmtId="0" fontId="10" fillId="0" borderId="29" xfId="0" applyFont="1" applyFill="1" applyBorder="1" applyAlignment="1" quotePrefix="1">
      <alignment horizontal="centerContinuous" vertical="center"/>
    </xf>
    <xf numFmtId="0" fontId="10" fillId="0" borderId="0" xfId="0" applyFont="1" applyFill="1" applyBorder="1" applyAlignment="1">
      <alignment horizontal="center" vertical="center" textRotation="255"/>
    </xf>
    <xf numFmtId="41" fontId="15" fillId="0" borderId="26" xfId="0" applyNumberFormat="1" applyFont="1" applyFill="1" applyBorder="1" applyAlignment="1">
      <alignment horizontal="right" vertical="center"/>
    </xf>
    <xf numFmtId="41" fontId="15" fillId="0" borderId="26" xfId="0" applyNumberFormat="1" applyFont="1" applyBorder="1" applyAlignment="1">
      <alignment vertical="center"/>
    </xf>
    <xf numFmtId="0" fontId="7" fillId="0" borderId="0" xfId="0" applyFont="1" applyAlignment="1">
      <alignment/>
    </xf>
    <xf numFmtId="0" fontId="10" fillId="0" borderId="0" xfId="0" applyFont="1" applyFill="1" applyAlignment="1" quotePrefix="1">
      <alignment horizontal="left" vertical="center"/>
    </xf>
    <xf numFmtId="43" fontId="15" fillId="0" borderId="0"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41" fontId="7" fillId="0" borderId="0" xfId="0" applyNumberFormat="1" applyFont="1" applyFill="1" applyAlignment="1">
      <alignment vertical="center"/>
    </xf>
    <xf numFmtId="41" fontId="12" fillId="0" borderId="0" xfId="0" applyNumberFormat="1" applyFont="1" applyFill="1" applyAlignment="1">
      <alignment vertical="center"/>
    </xf>
    <xf numFmtId="0" fontId="15" fillId="0" borderId="25" xfId="0" applyFont="1" applyBorder="1" applyAlignment="1">
      <alignment horizontal="center"/>
    </xf>
    <xf numFmtId="0" fontId="15" fillId="0" borderId="19" xfId="0" applyFont="1" applyBorder="1" applyAlignment="1">
      <alignment horizontal="center"/>
    </xf>
    <xf numFmtId="0" fontId="15" fillId="0" borderId="0" xfId="0" applyFont="1" applyFill="1" applyBorder="1" applyAlignment="1">
      <alignment horizontal="distributed"/>
    </xf>
    <xf numFmtId="0" fontId="15" fillId="0" borderId="19" xfId="0" applyFont="1" applyFill="1" applyBorder="1" applyAlignment="1">
      <alignment horizontal="center"/>
    </xf>
    <xf numFmtId="0" fontId="0" fillId="0" borderId="0" xfId="0" applyFont="1" applyFill="1" applyAlignment="1">
      <alignment vertical="center"/>
    </xf>
    <xf numFmtId="2" fontId="18" fillId="0" borderId="17" xfId="0" applyNumberFormat="1"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quotePrefix="1">
      <alignment horizontal="left" vertical="center"/>
    </xf>
    <xf numFmtId="0" fontId="12" fillId="0" borderId="0" xfId="0" applyFont="1" applyFill="1" applyBorder="1" applyAlignment="1">
      <alignment horizontal="center" vertical="center"/>
    </xf>
    <xf numFmtId="0" fontId="13" fillId="0" borderId="21" xfId="0" applyFont="1" applyFill="1" applyBorder="1" applyAlignment="1">
      <alignment horizontal="distributed" vertical="center"/>
    </xf>
    <xf numFmtId="0" fontId="13" fillId="0" borderId="25"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distributed"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7" xfId="0" applyFont="1" applyFill="1" applyBorder="1" applyAlignment="1" quotePrefix="1">
      <alignment horizontal="center" vertical="center"/>
    </xf>
    <xf numFmtId="41" fontId="7" fillId="0" borderId="0" xfId="55" applyNumberFormat="1" applyFont="1" applyFill="1" applyAlignment="1">
      <alignment horizontal="right"/>
    </xf>
    <xf numFmtId="0" fontId="4" fillId="0" borderId="0" xfId="0" applyFont="1" applyFill="1" applyAlignment="1">
      <alignment/>
    </xf>
    <xf numFmtId="41" fontId="7" fillId="0" borderId="0" xfId="0" applyNumberFormat="1" applyFont="1" applyFill="1" applyBorder="1" applyAlignment="1">
      <alignment horizontal="right"/>
    </xf>
    <xf numFmtId="41" fontId="7" fillId="0" borderId="0" xfId="0" applyNumberFormat="1" applyFont="1" applyFill="1" applyAlignment="1">
      <alignment horizontal="right"/>
    </xf>
    <xf numFmtId="41" fontId="7" fillId="0" borderId="0" xfId="55" applyNumberFormat="1" applyFont="1" applyFill="1" applyBorder="1" applyAlignment="1">
      <alignment horizontal="right"/>
    </xf>
    <xf numFmtId="0" fontId="7" fillId="0" borderId="0" xfId="0" applyFont="1" applyFill="1" applyAlignment="1">
      <alignment horizontal="right"/>
    </xf>
    <xf numFmtId="0" fontId="0" fillId="0" borderId="0" xfId="0" applyFill="1" applyAlignment="1">
      <alignment/>
    </xf>
    <xf numFmtId="0" fontId="0" fillId="0" borderId="0" xfId="0" applyFill="1" applyBorder="1" applyAlignment="1">
      <alignment/>
    </xf>
    <xf numFmtId="0" fontId="9" fillId="0" borderId="0" xfId="0" applyFont="1" applyFill="1" applyBorder="1" applyAlignment="1" quotePrefix="1">
      <alignment horizontal="left" vertical="center"/>
    </xf>
    <xf numFmtId="41" fontId="7" fillId="36" borderId="30" xfId="0" applyNumberFormat="1" applyFont="1" applyFill="1" applyBorder="1" applyAlignment="1">
      <alignment vertical="center"/>
    </xf>
    <xf numFmtId="187" fontId="7" fillId="0" borderId="0" xfId="0" applyNumberFormat="1" applyFont="1" applyBorder="1" applyAlignment="1">
      <alignment horizontal="right" vertical="center"/>
    </xf>
    <xf numFmtId="0" fontId="10" fillId="0" borderId="31" xfId="0" applyFont="1" applyFill="1" applyBorder="1" applyAlignment="1" quotePrefix="1">
      <alignment horizontal="left" vertical="center"/>
    </xf>
    <xf numFmtId="0" fontId="15" fillId="0" borderId="31" xfId="0" applyFont="1" applyFill="1" applyBorder="1" applyAlignment="1">
      <alignment vertical="center"/>
    </xf>
    <xf numFmtId="0" fontId="15" fillId="0" borderId="0" xfId="0" applyFont="1" applyFill="1" applyBorder="1" applyAlignment="1" quotePrefix="1">
      <alignment horizontal="center" vertical="center"/>
    </xf>
    <xf numFmtId="0" fontId="13" fillId="0" borderId="24" xfId="0" applyFont="1" applyBorder="1" applyAlignment="1">
      <alignment horizontal="center" vertical="center"/>
    </xf>
    <xf numFmtId="0" fontId="13" fillId="0" borderId="18" xfId="0" applyFont="1" applyBorder="1" applyAlignment="1" quotePrefix="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41" fontId="15" fillId="0" borderId="26" xfId="0" applyNumberFormat="1" applyFont="1" applyFill="1" applyBorder="1" applyAlignment="1">
      <alignment vertical="center"/>
    </xf>
    <xf numFmtId="0" fontId="0" fillId="0" borderId="0" xfId="0" applyBorder="1" applyAlignment="1">
      <alignment horizontal="center" vertical="center" textRotation="255"/>
    </xf>
    <xf numFmtId="0" fontId="13" fillId="0" borderId="33" xfId="0" applyFont="1" applyFill="1" applyBorder="1" applyAlignment="1">
      <alignment horizontal="center" vertical="center"/>
    </xf>
    <xf numFmtId="0" fontId="24" fillId="0" borderId="0" xfId="0" applyFont="1" applyFill="1" applyAlignment="1">
      <alignment horizontal="centerContinuous" vertical="center"/>
    </xf>
    <xf numFmtId="0" fontId="10" fillId="0" borderId="34" xfId="0" applyFont="1" applyFill="1" applyBorder="1" applyAlignment="1">
      <alignment horizontal="left" vertical="center"/>
    </xf>
    <xf numFmtId="0" fontId="10" fillId="0" borderId="31" xfId="0" applyFont="1" applyFill="1" applyBorder="1" applyAlignment="1">
      <alignment horizontal="left" vertical="center"/>
    </xf>
    <xf numFmtId="0" fontId="4" fillId="0" borderId="35" xfId="0" applyFont="1" applyFill="1" applyBorder="1" applyAlignment="1">
      <alignment horizontal="center" vertical="center"/>
    </xf>
    <xf numFmtId="0" fontId="15" fillId="0" borderId="32" xfId="0" applyFont="1" applyFill="1" applyBorder="1" applyAlignment="1">
      <alignment horizontal="center" vertical="center"/>
    </xf>
    <xf numFmtId="0" fontId="22" fillId="0" borderId="13" xfId="0" applyFont="1" applyFill="1" applyBorder="1" applyAlignment="1">
      <alignment horizontal="center" vertical="center"/>
    </xf>
    <xf numFmtId="0" fontId="15" fillId="0" borderId="36" xfId="0" applyFont="1" applyFill="1" applyBorder="1" applyAlignment="1">
      <alignment horizontal="center" vertical="center"/>
    </xf>
    <xf numFmtId="0" fontId="4" fillId="0" borderId="13"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5" xfId="0" applyFont="1" applyFill="1" applyBorder="1" applyAlignment="1">
      <alignment horizontal="center" vertical="center"/>
    </xf>
    <xf numFmtId="0" fontId="13" fillId="0" borderId="0" xfId="0" applyFont="1" applyFill="1" applyBorder="1" applyAlignment="1" quotePrefix="1">
      <alignment horizontal="center" vertical="center"/>
    </xf>
    <xf numFmtId="0" fontId="7" fillId="0" borderId="13" xfId="0" applyFont="1" applyBorder="1" applyAlignment="1">
      <alignment horizontal="center" vertical="center"/>
    </xf>
    <xf numFmtId="0" fontId="13" fillId="0" borderId="35"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2"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41" fontId="7" fillId="0" borderId="0" xfId="0" applyNumberFormat="1" applyFont="1" applyFill="1" applyBorder="1" applyAlignment="1">
      <alignment horizontal="right" vertical="center"/>
    </xf>
    <xf numFmtId="0" fontId="9" fillId="0" borderId="21" xfId="0" applyFont="1" applyFill="1" applyBorder="1" applyAlignment="1" quotePrefix="1">
      <alignment vertical="center"/>
    </xf>
    <xf numFmtId="41" fontId="15" fillId="0" borderId="0" xfId="0" applyNumberFormat="1" applyFont="1" applyBorder="1" applyAlignment="1">
      <alignment horizontal="right" vertical="center"/>
    </xf>
    <xf numFmtId="41" fontId="4" fillId="0" borderId="0" xfId="55" applyNumberFormat="1" applyFont="1" applyAlignment="1">
      <alignment horizontal="right"/>
    </xf>
    <xf numFmtId="41" fontId="22" fillId="0" borderId="0" xfId="0" applyNumberFormat="1" applyFont="1" applyBorder="1" applyAlignment="1">
      <alignment horizontal="right" vertical="center"/>
    </xf>
    <xf numFmtId="188" fontId="7" fillId="0" borderId="0" xfId="0" applyNumberFormat="1" applyFont="1" applyFill="1" applyBorder="1" applyAlignment="1">
      <alignment horizontal="right" vertical="center" shrinkToFit="1"/>
    </xf>
    <xf numFmtId="188" fontId="7" fillId="0" borderId="0" xfId="0" applyNumberFormat="1" applyFont="1" applyBorder="1" applyAlignment="1">
      <alignment horizontal="right" vertical="center" shrinkToFit="1"/>
    </xf>
    <xf numFmtId="0" fontId="10" fillId="0" borderId="0" xfId="0" applyFont="1" applyBorder="1" applyAlignment="1">
      <alignment horizontal="centerContinuous" vertical="center"/>
    </xf>
    <xf numFmtId="2" fontId="10" fillId="0" borderId="0" xfId="0" applyNumberFormat="1" applyFont="1" applyBorder="1" applyAlignment="1">
      <alignment horizontal="right" vertical="center"/>
    </xf>
    <xf numFmtId="2" fontId="7" fillId="0" borderId="0" xfId="0" applyNumberFormat="1" applyFont="1" applyFill="1" applyBorder="1" applyAlignment="1">
      <alignment horizontal="center"/>
    </xf>
    <xf numFmtId="0" fontId="10" fillId="0" borderId="19" xfId="0" applyFont="1" applyFill="1" applyBorder="1" applyAlignment="1">
      <alignment horizontal="left" vertical="center" indent="1"/>
    </xf>
    <xf numFmtId="183" fontId="15" fillId="0" borderId="0" xfId="0" applyNumberFormat="1" applyFont="1" applyFill="1" applyBorder="1" applyAlignment="1">
      <alignment horizontal="right" vertical="center"/>
    </xf>
    <xf numFmtId="183" fontId="15" fillId="0" borderId="0" xfId="0" applyNumberFormat="1" applyFont="1" applyFill="1" applyBorder="1" applyAlignment="1">
      <alignment vertical="center"/>
    </xf>
    <xf numFmtId="183" fontId="15" fillId="0" borderId="0" xfId="0" applyNumberFormat="1" applyFont="1" applyBorder="1" applyAlignment="1">
      <alignment vertical="center"/>
    </xf>
    <xf numFmtId="176" fontId="15" fillId="0" borderId="0" xfId="0" applyNumberFormat="1" applyFont="1" applyFill="1" applyBorder="1" applyAlignment="1">
      <alignment horizontal="right" vertical="center"/>
    </xf>
    <xf numFmtId="176" fontId="15" fillId="0" borderId="0" xfId="0" applyNumberFormat="1" applyFont="1" applyAlignment="1">
      <alignment vertical="center"/>
    </xf>
    <xf numFmtId="0" fontId="12" fillId="0" borderId="0" xfId="0" applyFont="1" applyFill="1" applyBorder="1" applyAlignment="1">
      <alignment horizontal="left" vertical="center"/>
    </xf>
    <xf numFmtId="188" fontId="23" fillId="0" borderId="0" xfId="0" applyNumberFormat="1" applyFont="1" applyFill="1" applyBorder="1" applyAlignment="1">
      <alignment horizontal="right" vertical="center" shrinkToFit="1"/>
    </xf>
    <xf numFmtId="41" fontId="7" fillId="37" borderId="0" xfId="0" applyNumberFormat="1" applyFont="1" applyFill="1" applyAlignment="1">
      <alignment vertical="center"/>
    </xf>
    <xf numFmtId="0" fontId="10" fillId="36" borderId="19" xfId="0" applyFont="1" applyFill="1" applyBorder="1" applyAlignment="1" quotePrefix="1">
      <alignment horizontal="left" vertical="center"/>
    </xf>
    <xf numFmtId="0" fontId="11" fillId="36" borderId="19" xfId="0" applyFont="1" applyFill="1" applyBorder="1" applyAlignment="1">
      <alignment vertical="center"/>
    </xf>
    <xf numFmtId="0" fontId="25" fillId="0" borderId="0" xfId="0" applyFont="1" applyAlignment="1">
      <alignment horizontal="centerContinuous" vertical="center"/>
    </xf>
    <xf numFmtId="188" fontId="13" fillId="0" borderId="0" xfId="0" applyNumberFormat="1" applyFont="1" applyFill="1" applyBorder="1" applyAlignment="1">
      <alignment horizontal="right" vertical="center" shrinkToFit="1"/>
    </xf>
    <xf numFmtId="188" fontId="13" fillId="0" borderId="0" xfId="0" applyNumberFormat="1" applyFont="1" applyBorder="1" applyAlignment="1">
      <alignment horizontal="right" vertical="center" shrinkToFit="1"/>
    </xf>
    <xf numFmtId="0" fontId="15" fillId="0" borderId="21" xfId="0" applyFont="1" applyBorder="1" applyAlignment="1">
      <alignment vertical="center"/>
    </xf>
    <xf numFmtId="0" fontId="13" fillId="0" borderId="21" xfId="0" applyFont="1" applyFill="1" applyBorder="1" applyAlignment="1">
      <alignment vertical="center"/>
    </xf>
    <xf numFmtId="0" fontId="13" fillId="0" borderId="21" xfId="0" applyFont="1" applyBorder="1" applyAlignment="1">
      <alignment vertical="center"/>
    </xf>
    <xf numFmtId="188" fontId="23" fillId="0" borderId="21" xfId="0" applyNumberFormat="1" applyFont="1" applyFill="1" applyBorder="1" applyAlignment="1">
      <alignment horizontal="right" vertical="center" shrinkToFit="1"/>
    </xf>
    <xf numFmtId="188" fontId="23" fillId="0" borderId="21" xfId="0" applyNumberFormat="1" applyFont="1" applyBorder="1" applyAlignment="1">
      <alignment horizontal="right" vertical="center" shrinkToFit="1"/>
    </xf>
    <xf numFmtId="41" fontId="0" fillId="0" borderId="0" xfId="0" applyNumberFormat="1" applyFont="1" applyFill="1" applyAlignment="1">
      <alignment vertical="center"/>
    </xf>
    <xf numFmtId="41" fontId="4" fillId="0" borderId="0" xfId="0" applyNumberFormat="1" applyFont="1" applyAlignment="1">
      <alignment vertical="center"/>
    </xf>
    <xf numFmtId="178" fontId="7" fillId="0" borderId="0" xfId="0" applyNumberFormat="1" applyFont="1" applyFill="1" applyBorder="1" applyAlignment="1">
      <alignment vertical="center"/>
    </xf>
    <xf numFmtId="179" fontId="7" fillId="0" borderId="0" xfId="0" applyNumberFormat="1" applyFont="1" applyFill="1" applyBorder="1" applyAlignment="1">
      <alignment vertical="center"/>
    </xf>
    <xf numFmtId="0" fontId="7" fillId="0" borderId="0" xfId="0" applyFont="1" applyBorder="1" applyAlignment="1">
      <alignment/>
    </xf>
    <xf numFmtId="0" fontId="0" fillId="0" borderId="0" xfId="0" applyFont="1" applyFill="1" applyAlignment="1">
      <alignment horizontal="center" vertical="center"/>
    </xf>
    <xf numFmtId="191" fontId="7" fillId="0" borderId="0" xfId="0" applyNumberFormat="1" applyFont="1" applyFill="1" applyAlignment="1">
      <alignment vertical="center"/>
    </xf>
    <xf numFmtId="176" fontId="7" fillId="0" borderId="0" xfId="0" applyNumberFormat="1" applyFont="1" applyFill="1" applyAlignment="1">
      <alignment vertical="center"/>
    </xf>
    <xf numFmtId="0" fontId="4" fillId="0" borderId="19" xfId="0" applyFont="1" applyFill="1" applyBorder="1" applyAlignment="1">
      <alignment/>
    </xf>
    <xf numFmtId="0" fontId="13" fillId="0" borderId="21" xfId="0" applyFont="1" applyFill="1" applyBorder="1" applyAlignment="1">
      <alignment horizontal="left"/>
    </xf>
    <xf numFmtId="0" fontId="26" fillId="0" borderId="19" xfId="0" applyFont="1" applyFill="1" applyBorder="1" applyAlignment="1">
      <alignment horizontal="left" vertical="center"/>
    </xf>
    <xf numFmtId="0" fontId="13" fillId="0" borderId="0" xfId="0" applyFont="1" applyFill="1" applyBorder="1" applyAlignment="1">
      <alignment horizontal="left"/>
    </xf>
    <xf numFmtId="0" fontId="13" fillId="0" borderId="25" xfId="0" applyFont="1" applyFill="1" applyBorder="1" applyAlignment="1">
      <alignment horizontal="center"/>
    </xf>
    <xf numFmtId="0" fontId="4" fillId="0" borderId="0" xfId="0" applyFont="1" applyFill="1" applyBorder="1" applyAlignment="1">
      <alignment horizontal="center"/>
    </xf>
    <xf numFmtId="0" fontId="13" fillId="0" borderId="19" xfId="0" applyFont="1" applyFill="1" applyBorder="1" applyAlignment="1" quotePrefix="1">
      <alignment horizontal="left" vertical="center"/>
    </xf>
    <xf numFmtId="0" fontId="13" fillId="0" borderId="19" xfId="0" applyFont="1" applyFill="1" applyBorder="1" applyAlignment="1">
      <alignment horizontal="left" vertical="center"/>
    </xf>
    <xf numFmtId="0" fontId="19" fillId="0" borderId="19" xfId="0" applyFont="1" applyFill="1" applyBorder="1" applyAlignment="1">
      <alignment horizontal="left" vertical="center"/>
    </xf>
    <xf numFmtId="0" fontId="13" fillId="0" borderId="19" xfId="0" applyFont="1" applyFill="1" applyBorder="1" applyAlignment="1">
      <alignment horizontal="center"/>
    </xf>
    <xf numFmtId="188" fontId="4" fillId="0" borderId="0" xfId="0" applyNumberFormat="1" applyFont="1" applyFill="1" applyBorder="1" applyAlignment="1">
      <alignment horizontal="right" vertical="center" shrinkToFit="1"/>
    </xf>
    <xf numFmtId="188" fontId="4" fillId="0" borderId="0" xfId="0" applyNumberFormat="1" applyFont="1" applyBorder="1" applyAlignment="1">
      <alignment horizontal="right" vertical="center" shrinkToFit="1"/>
    </xf>
    <xf numFmtId="41" fontId="4" fillId="0" borderId="0" xfId="55" applyNumberFormat="1" applyFont="1" applyFill="1" applyBorder="1" applyAlignment="1">
      <alignment horizontal="right" vertical="center"/>
    </xf>
    <xf numFmtId="0" fontId="4" fillId="0" borderId="0" xfId="0" applyFont="1" applyFill="1" applyAlignment="1">
      <alignment horizontal="right" vertical="center"/>
    </xf>
    <xf numFmtId="41" fontId="4" fillId="0" borderId="0" xfId="55" applyNumberFormat="1" applyFont="1" applyFill="1" applyAlignment="1">
      <alignment horizontal="right" vertical="center"/>
    </xf>
    <xf numFmtId="41" fontId="4" fillId="0" borderId="0" xfId="0" applyNumberFormat="1" applyFont="1" applyFill="1" applyAlignment="1">
      <alignment horizontal="right" vertical="center"/>
    </xf>
    <xf numFmtId="41" fontId="4" fillId="0" borderId="0" xfId="55" applyNumberFormat="1" applyFont="1" applyFill="1" applyAlignment="1">
      <alignment horizontal="center" vertical="center"/>
    </xf>
    <xf numFmtId="41" fontId="4" fillId="0" borderId="0" xfId="0" applyNumberFormat="1" applyFont="1" applyFill="1" applyBorder="1" applyAlignment="1">
      <alignment horizontal="right" vertical="center"/>
    </xf>
    <xf numFmtId="0" fontId="11" fillId="0" borderId="31" xfId="0" applyFont="1" applyFill="1" applyBorder="1" applyAlignment="1">
      <alignment horizontal="left" vertical="center"/>
    </xf>
    <xf numFmtId="0" fontId="12" fillId="0" borderId="19" xfId="0" applyFont="1" applyFill="1" applyBorder="1" applyAlignment="1">
      <alignment vertical="center"/>
    </xf>
    <xf numFmtId="0" fontId="7" fillId="0" borderId="0" xfId="0" applyNumberFormat="1" applyFont="1" applyFill="1" applyBorder="1" applyAlignment="1">
      <alignment vertical="center"/>
    </xf>
    <xf numFmtId="0" fontId="15" fillId="0" borderId="14" xfId="0" applyFont="1" applyFill="1" applyBorder="1" applyAlignment="1">
      <alignment horizontal="left" vertical="center"/>
    </xf>
    <xf numFmtId="0" fontId="15" fillId="0" borderId="0" xfId="0" applyFont="1" applyFill="1" applyAlignment="1">
      <alignment horizontal="center" vertical="center"/>
    </xf>
    <xf numFmtId="41" fontId="7" fillId="26" borderId="0" xfId="0" applyNumberFormat="1" applyFont="1" applyFill="1" applyAlignment="1">
      <alignment vertical="center"/>
    </xf>
    <xf numFmtId="177" fontId="15" fillId="0" borderId="0" xfId="55" applyNumberFormat="1" applyFont="1" applyFill="1" applyBorder="1" applyAlignment="1">
      <alignment vertical="center"/>
    </xf>
    <xf numFmtId="177" fontId="15" fillId="0" borderId="0" xfId="55" applyNumberFormat="1" applyFont="1" applyBorder="1" applyAlignment="1">
      <alignment vertical="center"/>
    </xf>
    <xf numFmtId="0" fontId="19" fillId="0" borderId="0" xfId="0" applyFont="1" applyFill="1" applyBorder="1" applyAlignment="1">
      <alignment horizontal="left" vertical="center"/>
    </xf>
    <xf numFmtId="41" fontId="7" fillId="0" borderId="34" xfId="55" applyNumberFormat="1" applyFont="1" applyFill="1" applyBorder="1" applyAlignment="1">
      <alignment horizontal="right"/>
    </xf>
    <xf numFmtId="41" fontId="4" fillId="0" borderId="26" xfId="55" applyNumberFormat="1" applyFont="1" applyFill="1" applyBorder="1" applyAlignment="1">
      <alignment horizontal="right" vertical="center"/>
    </xf>
    <xf numFmtId="41" fontId="15" fillId="0" borderId="16" xfId="0" applyNumberFormat="1" applyFont="1" applyFill="1" applyBorder="1" applyAlignment="1">
      <alignment vertical="center"/>
    </xf>
    <xf numFmtId="41" fontId="22" fillId="0" borderId="0" xfId="0" applyNumberFormat="1" applyFont="1" applyFill="1" applyBorder="1" applyAlignment="1">
      <alignment horizontal="right" vertical="center"/>
    </xf>
    <xf numFmtId="177" fontId="15" fillId="0" borderId="16" xfId="55" applyNumberFormat="1" applyFont="1" applyFill="1" applyBorder="1" applyAlignment="1">
      <alignment vertical="center"/>
    </xf>
    <xf numFmtId="0" fontId="10" fillId="0" borderId="20" xfId="0" applyFont="1" applyFill="1" applyBorder="1" applyAlignment="1">
      <alignment horizontal="left" vertical="center"/>
    </xf>
    <xf numFmtId="41" fontId="7" fillId="38" borderId="0" xfId="0" applyNumberFormat="1" applyFont="1" applyFill="1" applyBorder="1" applyAlignment="1">
      <alignment vertical="center"/>
    </xf>
    <xf numFmtId="41" fontId="7" fillId="38" borderId="16" xfId="0" applyNumberFormat="1" applyFont="1" applyFill="1" applyBorder="1" applyAlignment="1">
      <alignment vertical="center"/>
    </xf>
    <xf numFmtId="41" fontId="15" fillId="0" borderId="30" xfId="0" applyNumberFormat="1" applyFont="1" applyBorder="1" applyAlignment="1">
      <alignment vertical="center"/>
    </xf>
    <xf numFmtId="41" fontId="15" fillId="0" borderId="16" xfId="0" applyNumberFormat="1" applyFont="1" applyBorder="1" applyAlignment="1">
      <alignment vertical="center"/>
    </xf>
    <xf numFmtId="176" fontId="15" fillId="0" borderId="16" xfId="0" applyNumberFormat="1" applyFont="1" applyFill="1" applyBorder="1" applyAlignment="1">
      <alignment horizontal="right" vertical="center"/>
    </xf>
    <xf numFmtId="0" fontId="11" fillId="0" borderId="20" xfId="0" applyFont="1" applyFill="1" applyBorder="1" applyAlignment="1">
      <alignment horizontal="left" vertical="center"/>
    </xf>
    <xf numFmtId="176" fontId="15" fillId="0" borderId="0" xfId="55" applyNumberFormat="1" applyFont="1" applyFill="1" applyBorder="1" applyAlignment="1">
      <alignment vertical="center"/>
    </xf>
    <xf numFmtId="0" fontId="76" fillId="0" borderId="19" xfId="0" applyFont="1" applyFill="1" applyBorder="1" applyAlignment="1">
      <alignment vertical="center"/>
    </xf>
    <xf numFmtId="0" fontId="10" fillId="0" borderId="37" xfId="0" applyFont="1" applyFill="1" applyBorder="1" applyAlignment="1">
      <alignment horizontal="left" vertical="center"/>
    </xf>
    <xf numFmtId="41" fontId="15" fillId="0" borderId="30" xfId="0" applyNumberFormat="1" applyFont="1" applyFill="1" applyBorder="1" applyAlignment="1">
      <alignment vertical="center"/>
    </xf>
    <xf numFmtId="41" fontId="15" fillId="0" borderId="16" xfId="0" applyNumberFormat="1" applyFont="1" applyFill="1" applyBorder="1" applyAlignment="1">
      <alignment horizontal="right" vertical="center"/>
    </xf>
    <xf numFmtId="183" fontId="15" fillId="0" borderId="16" xfId="0" applyNumberFormat="1" applyFont="1" applyFill="1" applyBorder="1" applyAlignment="1">
      <alignment horizontal="right" vertical="center"/>
    </xf>
    <xf numFmtId="0" fontId="11" fillId="0" borderId="38" xfId="0" applyFont="1" applyFill="1" applyBorder="1" applyAlignment="1">
      <alignment horizontal="left" vertical="center"/>
    </xf>
    <xf numFmtId="0" fontId="4" fillId="0" borderId="0" xfId="0" applyFont="1" applyFill="1" applyAlignment="1">
      <alignment horizontal="left" vertical="top"/>
    </xf>
    <xf numFmtId="176" fontId="15" fillId="0" borderId="16" xfId="55" applyNumberFormat="1" applyFont="1" applyFill="1" applyBorder="1" applyAlignment="1">
      <alignment vertical="center"/>
    </xf>
    <xf numFmtId="0" fontId="77" fillId="36" borderId="19" xfId="0" applyFont="1" applyFill="1" applyBorder="1" applyAlignment="1">
      <alignment vertical="center"/>
    </xf>
    <xf numFmtId="0" fontId="10" fillId="0" borderId="19" xfId="0" applyFont="1" applyFill="1" applyBorder="1" applyAlignment="1" quotePrefix="1">
      <alignment vertical="center" wrapText="1"/>
    </xf>
    <xf numFmtId="0" fontId="10" fillId="0" borderId="19" xfId="0" applyFont="1" applyFill="1" applyBorder="1" applyAlignment="1" quotePrefix="1">
      <alignment horizontal="left" vertical="center" wrapText="1"/>
    </xf>
    <xf numFmtId="0" fontId="78" fillId="0" borderId="19" xfId="0" applyFont="1" applyBorder="1" applyAlignment="1">
      <alignment vertical="center" wrapText="1"/>
    </xf>
    <xf numFmtId="41" fontId="7" fillId="26" borderId="0" xfId="0" applyNumberFormat="1" applyFont="1" applyFill="1" applyBorder="1" applyAlignment="1">
      <alignment vertical="center"/>
    </xf>
    <xf numFmtId="0" fontId="9" fillId="0" borderId="16" xfId="0" applyFont="1" applyFill="1" applyBorder="1" applyAlignment="1" quotePrefix="1">
      <alignment horizontal="left" vertical="center"/>
    </xf>
    <xf numFmtId="0" fontId="19" fillId="0" borderId="16" xfId="0" applyFont="1" applyFill="1" applyBorder="1" applyAlignment="1">
      <alignment horizontal="left" vertical="center"/>
    </xf>
    <xf numFmtId="0" fontId="4" fillId="0" borderId="20" xfId="0" applyFont="1" applyFill="1" applyBorder="1" applyAlignment="1">
      <alignment/>
    </xf>
    <xf numFmtId="0" fontId="0" fillId="0" borderId="16" xfId="0" applyFill="1" applyBorder="1" applyAlignment="1">
      <alignment/>
    </xf>
    <xf numFmtId="0" fontId="0" fillId="0" borderId="0" xfId="0" applyBorder="1" applyAlignment="1">
      <alignment vertical="center" textRotation="255"/>
    </xf>
    <xf numFmtId="0" fontId="10" fillId="0" borderId="0" xfId="0" applyFont="1" applyFill="1" applyBorder="1" applyAlignment="1">
      <alignment horizontal="left" vertical="center"/>
    </xf>
    <xf numFmtId="41" fontId="15" fillId="38" borderId="0" xfId="0" applyNumberFormat="1" applyFont="1" applyFill="1" applyBorder="1" applyAlignment="1">
      <alignment vertical="center"/>
    </xf>
    <xf numFmtId="183" fontId="15" fillId="38" borderId="0" xfId="0" applyNumberFormat="1" applyFont="1" applyFill="1" applyBorder="1" applyAlignment="1">
      <alignment horizontal="right" vertical="center"/>
    </xf>
    <xf numFmtId="176" fontId="15" fillId="38" borderId="0" xfId="0" applyNumberFormat="1" applyFont="1" applyFill="1" applyBorder="1" applyAlignment="1">
      <alignment horizontal="right" vertical="center"/>
    </xf>
    <xf numFmtId="41" fontId="15" fillId="38" borderId="0" xfId="0" applyNumberFormat="1" applyFont="1" applyFill="1" applyBorder="1" applyAlignment="1">
      <alignment horizontal="right" vertical="center"/>
    </xf>
    <xf numFmtId="41" fontId="15" fillId="38" borderId="0" xfId="0" applyNumberFormat="1" applyFont="1" applyFill="1" applyAlignment="1">
      <alignment vertical="center"/>
    </xf>
    <xf numFmtId="41" fontId="4" fillId="38" borderId="16" xfId="55" applyNumberFormat="1" applyFont="1" applyFill="1" applyBorder="1" applyAlignment="1">
      <alignment horizontal="right" vertical="center"/>
    </xf>
    <xf numFmtId="41" fontId="4" fillId="38" borderId="0" xfId="55" applyNumberFormat="1" applyFont="1" applyFill="1" applyBorder="1" applyAlignment="1">
      <alignment horizontal="right" vertical="center"/>
    </xf>
    <xf numFmtId="41" fontId="7" fillId="38" borderId="0" xfId="55" applyNumberFormat="1" applyFont="1" applyFill="1" applyBorder="1" applyAlignment="1">
      <alignment horizontal="right"/>
    </xf>
    <xf numFmtId="0" fontId="37" fillId="0" borderId="0" xfId="52" applyFont="1">
      <alignment vertical="center"/>
      <protection/>
    </xf>
    <xf numFmtId="0" fontId="38" fillId="0" borderId="0" xfId="52" applyFont="1">
      <alignment vertical="center"/>
      <protection/>
    </xf>
    <xf numFmtId="0" fontId="79" fillId="0" borderId="39" xfId="52" applyFont="1" applyBorder="1" applyAlignment="1">
      <alignment horizontal="center" vertical="center"/>
      <protection/>
    </xf>
    <xf numFmtId="0" fontId="79" fillId="0" borderId="40" xfId="52" applyFont="1" applyBorder="1" applyAlignment="1">
      <alignment horizontal="centerContinuous" vertical="center"/>
      <protection/>
    </xf>
    <xf numFmtId="0" fontId="79" fillId="0" borderId="12" xfId="52" applyFont="1" applyBorder="1" applyAlignment="1">
      <alignment horizontal="center" vertical="center"/>
      <protection/>
    </xf>
    <xf numFmtId="0" fontId="79" fillId="0" borderId="41" xfId="52" applyFont="1" applyBorder="1" applyAlignment="1">
      <alignment horizontal="center" vertical="center"/>
      <protection/>
    </xf>
    <xf numFmtId="0" fontId="79" fillId="0" borderId="40" xfId="52" applyFont="1" applyBorder="1" applyAlignment="1">
      <alignment horizontal="center" vertical="center"/>
      <protection/>
    </xf>
    <xf numFmtId="0" fontId="79" fillId="0" borderId="35" xfId="52" applyFont="1" applyBorder="1" applyAlignment="1">
      <alignment horizontal="center" vertical="center"/>
      <protection/>
    </xf>
    <xf numFmtId="0" fontId="7" fillId="0" borderId="23" xfId="52" applyFont="1" applyBorder="1" applyAlignment="1">
      <alignment horizontal="center" vertical="center"/>
      <protection/>
    </xf>
    <xf numFmtId="198" fontId="23" fillId="0" borderId="0" xfId="52" applyNumberFormat="1" applyFont="1" applyBorder="1" applyAlignment="1">
      <alignment horizontal="right" vertical="center"/>
      <protection/>
    </xf>
    <xf numFmtId="0" fontId="79" fillId="0" borderId="40" xfId="52" applyFont="1" applyBorder="1" applyAlignment="1">
      <alignment horizontal="center" vertical="center" wrapText="1"/>
      <protection/>
    </xf>
    <xf numFmtId="198" fontId="23" fillId="0" borderId="14" xfId="52" applyNumberFormat="1" applyFont="1" applyBorder="1" applyAlignment="1">
      <alignment horizontal="right" vertical="center"/>
      <protection/>
    </xf>
    <xf numFmtId="0" fontId="23" fillId="0" borderId="0" xfId="52" applyFont="1" applyAlignment="1">
      <alignment vertical="center" textRotation="255" wrapText="1"/>
      <protection/>
    </xf>
    <xf numFmtId="0" fontId="23" fillId="0" borderId="0" xfId="52" applyFont="1" applyAlignment="1">
      <alignment horizontal="center" vertical="center"/>
      <protection/>
    </xf>
    <xf numFmtId="192" fontId="38" fillId="0" borderId="0" xfId="52" applyNumberFormat="1" applyFont="1">
      <alignment vertical="center"/>
      <protection/>
    </xf>
    <xf numFmtId="0" fontId="1" fillId="0" borderId="0" xfId="52" applyFont="1" applyAlignment="1">
      <alignment horizontal="center" vertical="center" wrapText="1"/>
      <protection/>
    </xf>
    <xf numFmtId="0" fontId="0" fillId="0" borderId="0" xfId="52" applyAlignment="1">
      <alignment vertical="center" wrapText="1"/>
      <protection/>
    </xf>
    <xf numFmtId="0" fontId="9" fillId="38" borderId="19" xfId="0" applyFont="1" applyFill="1" applyBorder="1" applyAlignment="1">
      <alignment vertical="center"/>
    </xf>
    <xf numFmtId="0" fontId="10" fillId="38" borderId="19" xfId="0" applyFont="1" applyFill="1" applyBorder="1" applyAlignment="1" quotePrefix="1">
      <alignment horizontal="left" vertical="center"/>
    </xf>
    <xf numFmtId="0" fontId="9" fillId="38" borderId="19" xfId="0" applyFont="1" applyFill="1" applyBorder="1" applyAlignment="1">
      <alignment horizontal="left" vertical="center"/>
    </xf>
    <xf numFmtId="0" fontId="77" fillId="38" borderId="19" xfId="0" applyFont="1" applyFill="1" applyBorder="1" applyAlignment="1">
      <alignment vertical="center"/>
    </xf>
    <xf numFmtId="0" fontId="11" fillId="38" borderId="19" xfId="0" applyFont="1" applyFill="1" applyBorder="1" applyAlignment="1">
      <alignment vertical="center"/>
    </xf>
    <xf numFmtId="0" fontId="9" fillId="38" borderId="20" xfId="0" applyFont="1" applyFill="1" applyBorder="1" applyAlignment="1">
      <alignment vertical="center"/>
    </xf>
    <xf numFmtId="41" fontId="7" fillId="38" borderId="30" xfId="0" applyNumberFormat="1" applyFont="1" applyFill="1" applyBorder="1" applyAlignment="1">
      <alignment vertical="center"/>
    </xf>
    <xf numFmtId="0" fontId="7" fillId="39" borderId="0" xfId="0" applyFont="1" applyFill="1" applyAlignment="1">
      <alignment vertical="center"/>
    </xf>
    <xf numFmtId="0" fontId="12" fillId="39" borderId="0" xfId="0" applyFont="1" applyFill="1" applyAlignment="1">
      <alignment vertical="center"/>
    </xf>
    <xf numFmtId="0" fontId="80" fillId="0" borderId="0" xfId="53" applyFont="1">
      <alignment vertical="center"/>
      <protection/>
    </xf>
    <xf numFmtId="0" fontId="38" fillId="0" borderId="0" xfId="53" applyFont="1">
      <alignment vertical="center"/>
      <protection/>
    </xf>
    <xf numFmtId="0" fontId="7" fillId="0" borderId="39" xfId="53" applyFont="1" applyBorder="1" applyAlignment="1">
      <alignment horizontal="center" vertical="center"/>
      <protection/>
    </xf>
    <xf numFmtId="0" fontId="7" fillId="0" borderId="42" xfId="53" applyFont="1" applyBorder="1" applyAlignment="1">
      <alignment horizontal="centerContinuous" vertical="center"/>
      <protection/>
    </xf>
    <xf numFmtId="0" fontId="7" fillId="0" borderId="43" xfId="53" applyFont="1" applyBorder="1" applyAlignment="1">
      <alignment horizontal="centerContinuous" vertical="center"/>
      <protection/>
    </xf>
    <xf numFmtId="0" fontId="7" fillId="0" borderId="44" xfId="53" applyFont="1" applyBorder="1" applyAlignment="1">
      <alignment horizontal="centerContinuous" vertical="center"/>
      <protection/>
    </xf>
    <xf numFmtId="0" fontId="7" fillId="0" borderId="0" xfId="53" applyFont="1" applyBorder="1" applyAlignment="1">
      <alignment horizontal="center" vertical="center"/>
      <protection/>
    </xf>
    <xf numFmtId="0" fontId="7" fillId="0" borderId="12" xfId="53" applyFont="1" applyBorder="1" applyAlignment="1">
      <alignment horizontal="center" vertical="center"/>
      <protection/>
    </xf>
    <xf numFmtId="0" fontId="7" fillId="0" borderId="36" xfId="53" applyFont="1" applyBorder="1" applyAlignment="1">
      <alignment horizontal="center" vertical="distributed" textRotation="255" wrapText="1"/>
      <protection/>
    </xf>
    <xf numFmtId="0" fontId="7" fillId="0" borderId="35" xfId="53" applyFont="1" applyBorder="1" applyAlignment="1">
      <alignment horizontal="centerContinuous" vertical="center"/>
      <protection/>
    </xf>
    <xf numFmtId="0" fontId="7" fillId="0" borderId="32" xfId="53" applyFont="1" applyBorder="1" applyAlignment="1">
      <alignment horizontal="centerContinuous" vertical="center"/>
      <protection/>
    </xf>
    <xf numFmtId="0" fontId="7" fillId="0" borderId="41" xfId="53" applyFont="1" applyBorder="1" applyAlignment="1">
      <alignment horizontal="center" vertical="center"/>
      <protection/>
    </xf>
    <xf numFmtId="0" fontId="7" fillId="0" borderId="45" xfId="53" applyFont="1" applyBorder="1" applyAlignment="1">
      <alignment horizontal="center" vertical="distributed" textRotation="255" wrapText="1"/>
      <protection/>
    </xf>
    <xf numFmtId="0" fontId="7" fillId="0" borderId="40" xfId="53" applyFont="1" applyBorder="1" applyAlignment="1">
      <alignment horizontal="center" vertical="center"/>
      <protection/>
    </xf>
    <xf numFmtId="192" fontId="23" fillId="0" borderId="0" xfId="53" applyNumberFormat="1" applyFont="1" applyAlignment="1">
      <alignment horizontal="right" vertical="center"/>
      <protection/>
    </xf>
    <xf numFmtId="198" fontId="23" fillId="0" borderId="0" xfId="53" applyNumberFormat="1" applyFont="1" applyAlignment="1">
      <alignment horizontal="right" vertical="center"/>
      <protection/>
    </xf>
    <xf numFmtId="198" fontId="23" fillId="0" borderId="0" xfId="53" applyNumberFormat="1" applyFont="1" applyBorder="1" applyAlignment="1">
      <alignment horizontal="right" vertical="center"/>
      <protection/>
    </xf>
    <xf numFmtId="0" fontId="79" fillId="0" borderId="40" xfId="53" applyFont="1" applyBorder="1" applyAlignment="1">
      <alignment horizontal="center" vertical="center" wrapText="1"/>
      <protection/>
    </xf>
    <xf numFmtId="192" fontId="23" fillId="0" borderId="0" xfId="53" applyNumberFormat="1" applyFont="1" applyBorder="1" applyAlignment="1">
      <alignment horizontal="right" vertical="center"/>
      <protection/>
    </xf>
    <xf numFmtId="0" fontId="7" fillId="0" borderId="23" xfId="53" applyFont="1" applyBorder="1" applyAlignment="1">
      <alignment horizontal="center" vertical="center"/>
      <protection/>
    </xf>
    <xf numFmtId="192" fontId="23" fillId="0" borderId="23" xfId="53" applyNumberFormat="1" applyFont="1" applyBorder="1" applyAlignment="1">
      <alignment horizontal="right" vertical="center"/>
      <protection/>
    </xf>
    <xf numFmtId="192" fontId="23" fillId="0" borderId="14" xfId="53" applyNumberFormat="1" applyFont="1" applyBorder="1" applyAlignment="1">
      <alignment horizontal="right" vertical="center"/>
      <protection/>
    </xf>
    <xf numFmtId="198" fontId="23" fillId="0" borderId="14" xfId="53" applyNumberFormat="1" applyFont="1" applyBorder="1" applyAlignment="1">
      <alignment horizontal="right" vertical="center"/>
      <protection/>
    </xf>
    <xf numFmtId="0" fontId="23" fillId="0" borderId="0" xfId="53" applyFont="1" applyBorder="1">
      <alignment vertical="center"/>
      <protection/>
    </xf>
    <xf numFmtId="0" fontId="23" fillId="0" borderId="0" xfId="53" applyFont="1" applyAlignment="1">
      <alignment vertical="center" textRotation="255" wrapText="1"/>
      <protection/>
    </xf>
    <xf numFmtId="0" fontId="23" fillId="0" borderId="0" xfId="53" applyFont="1" applyAlignment="1">
      <alignment horizontal="center" vertical="center"/>
      <protection/>
    </xf>
    <xf numFmtId="192" fontId="38" fillId="0" borderId="0" xfId="53" applyNumberFormat="1" applyFont="1">
      <alignment vertical="center"/>
      <protection/>
    </xf>
    <xf numFmtId="0" fontId="38" fillId="0" borderId="0" xfId="53" applyFont="1" applyBorder="1">
      <alignment vertical="center"/>
      <protection/>
    </xf>
    <xf numFmtId="0" fontId="1" fillId="0" borderId="0" xfId="53" applyFont="1" applyAlignment="1">
      <alignment horizontal="center" vertical="center" wrapText="1"/>
      <protection/>
    </xf>
    <xf numFmtId="192" fontId="1" fillId="0" borderId="0" xfId="53" applyNumberFormat="1" applyFont="1" applyAlignment="1">
      <alignment horizontal="center" vertical="center" wrapText="1"/>
      <protection/>
    </xf>
    <xf numFmtId="0" fontId="0" fillId="0" borderId="0" xfId="53" applyAlignment="1">
      <alignment vertical="center" wrapText="1"/>
      <protection/>
    </xf>
    <xf numFmtId="192" fontId="0" fillId="0" borderId="0" xfId="53" applyNumberFormat="1" applyAlignment="1">
      <alignment vertical="center" wrapText="1"/>
      <protection/>
    </xf>
    <xf numFmtId="0" fontId="7" fillId="0" borderId="45" xfId="53" applyFont="1" applyBorder="1" applyAlignment="1">
      <alignment horizontal="right" vertical="distributed" textRotation="255" wrapText="1"/>
      <protection/>
    </xf>
    <xf numFmtId="0" fontId="79" fillId="38" borderId="40" xfId="52" applyFont="1" applyFill="1" applyBorder="1" applyAlignment="1">
      <alignment horizontal="center" vertical="center"/>
      <protection/>
    </xf>
    <xf numFmtId="0" fontId="7" fillId="38" borderId="23" xfId="52" applyFont="1" applyFill="1" applyBorder="1" applyAlignment="1">
      <alignment horizontal="center" vertical="center"/>
      <protection/>
    </xf>
    <xf numFmtId="198" fontId="23" fillId="38" borderId="0" xfId="52" applyNumberFormat="1" applyFont="1" applyFill="1" applyBorder="1" applyAlignment="1">
      <alignment horizontal="right" vertical="center"/>
      <protection/>
    </xf>
    <xf numFmtId="198" fontId="23" fillId="38" borderId="0" xfId="52" applyNumberFormat="1" applyFont="1" applyFill="1">
      <alignment vertical="center"/>
      <protection/>
    </xf>
    <xf numFmtId="2" fontId="7" fillId="0" borderId="0" xfId="0" applyNumberFormat="1" applyFont="1" applyFill="1" applyAlignment="1">
      <alignment vertical="center"/>
    </xf>
    <xf numFmtId="0" fontId="7" fillId="0" borderId="0" xfId="0" applyFont="1" applyFill="1" applyAlignment="1">
      <alignment/>
    </xf>
    <xf numFmtId="176" fontId="15" fillId="40" borderId="0" xfId="0" applyNumberFormat="1" applyFont="1" applyFill="1" applyBorder="1" applyAlignment="1">
      <alignment horizontal="right" vertical="center"/>
    </xf>
    <xf numFmtId="0" fontId="15" fillId="38" borderId="0" xfId="0" applyFont="1" applyFill="1" applyBorder="1" applyAlignment="1">
      <alignment horizontal="distributed"/>
    </xf>
    <xf numFmtId="0" fontId="15" fillId="38" borderId="19" xfId="0" applyFont="1" applyFill="1" applyBorder="1" applyAlignment="1">
      <alignment horizontal="center"/>
    </xf>
    <xf numFmtId="41" fontId="13" fillId="38" borderId="0" xfId="55" applyNumberFormat="1" applyFont="1" applyFill="1" applyAlignment="1">
      <alignment horizontal="right"/>
    </xf>
    <xf numFmtId="41" fontId="4" fillId="38" borderId="0" xfId="55" applyNumberFormat="1" applyFont="1" applyFill="1" applyAlignment="1">
      <alignment horizontal="right"/>
    </xf>
    <xf numFmtId="188" fontId="4" fillId="38" borderId="0" xfId="0" applyNumberFormat="1" applyFont="1" applyFill="1" applyBorder="1" applyAlignment="1">
      <alignment horizontal="right" vertical="center" shrinkToFit="1"/>
    </xf>
    <xf numFmtId="192" fontId="23" fillId="38" borderId="0" xfId="53" applyNumberFormat="1" applyFont="1" applyFill="1" applyAlignment="1">
      <alignment horizontal="right" vertical="center"/>
      <protection/>
    </xf>
    <xf numFmtId="0" fontId="79" fillId="0" borderId="40" xfId="52" applyFont="1" applyBorder="1" applyAlignment="1">
      <alignment horizontal="left" vertical="center" wrapText="1"/>
      <protection/>
    </xf>
    <xf numFmtId="198" fontId="23" fillId="0" borderId="0" xfId="52" applyNumberFormat="1" applyFont="1" applyBorder="1" applyAlignment="1">
      <alignment horizontal="left" vertical="center"/>
      <protection/>
    </xf>
    <xf numFmtId="0" fontId="79" fillId="0" borderId="40" xfId="52" applyFont="1" applyBorder="1" applyAlignment="1">
      <alignment horizontal="left" vertical="center"/>
      <protection/>
    </xf>
    <xf numFmtId="0" fontId="79" fillId="0" borderId="40" xfId="52" applyFont="1" applyBorder="1" applyAlignment="1">
      <alignment horizontal="center" vertical="center"/>
      <protection/>
    </xf>
    <xf numFmtId="0" fontId="79" fillId="0" borderId="40" xfId="52" applyFont="1" applyBorder="1" applyAlignment="1">
      <alignment horizontal="left" vertical="center" wrapText="1" indent="1"/>
      <protection/>
    </xf>
    <xf numFmtId="0" fontId="79" fillId="0" borderId="40" xfId="53" applyFont="1" applyBorder="1" applyAlignment="1">
      <alignment horizontal="left" vertical="center" wrapText="1"/>
      <protection/>
    </xf>
    <xf numFmtId="198" fontId="23" fillId="0" borderId="0" xfId="53" applyNumberFormat="1" applyFont="1" applyBorder="1" applyAlignment="1">
      <alignment horizontal="left" vertical="center"/>
      <protection/>
    </xf>
    <xf numFmtId="0" fontId="7" fillId="0" borderId="40" xfId="53" applyFont="1" applyBorder="1" applyAlignment="1">
      <alignment horizontal="left" vertical="center"/>
      <protection/>
    </xf>
    <xf numFmtId="0" fontId="7" fillId="0" borderId="40" xfId="53" applyFont="1" applyBorder="1" applyAlignment="1">
      <alignment horizontal="left" vertical="center" wrapText="1"/>
      <protection/>
    </xf>
    <xf numFmtId="0" fontId="7" fillId="0" borderId="40" xfId="53" applyFont="1" applyBorder="1" applyAlignment="1">
      <alignment horizontal="left" vertical="center" wrapText="1" indent="2"/>
      <protection/>
    </xf>
    <xf numFmtId="0" fontId="79" fillId="0" borderId="40" xfId="52" applyFont="1" applyBorder="1" applyAlignment="1">
      <alignment horizontal="left" vertical="center" wrapText="1" indent="2"/>
      <protection/>
    </xf>
    <xf numFmtId="0" fontId="0" fillId="0" borderId="26" xfId="0" applyBorder="1" applyAlignment="1">
      <alignment vertical="center" textRotation="255"/>
    </xf>
    <xf numFmtId="0" fontId="14"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9" fillId="0" borderId="25"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10" fillId="0" borderId="19" xfId="0" applyFont="1" applyFill="1" applyBorder="1" applyAlignment="1">
      <alignment horizontal="left" vertical="center" textRotation="255"/>
    </xf>
    <xf numFmtId="0" fontId="0" fillId="0" borderId="19" xfId="0" applyBorder="1" applyAlignment="1">
      <alignment horizontal="center" vertical="center" textRotation="255"/>
    </xf>
    <xf numFmtId="0" fontId="0" fillId="0" borderId="19" xfId="0" applyBorder="1" applyAlignment="1">
      <alignment vertical="center" textRotation="255"/>
    </xf>
    <xf numFmtId="0" fontId="0" fillId="0" borderId="20" xfId="0" applyBorder="1" applyAlignment="1">
      <alignment vertical="center" textRotation="255"/>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textRotation="255"/>
    </xf>
    <xf numFmtId="0" fontId="9" fillId="0" borderId="26" xfId="0" applyFont="1" applyFill="1" applyBorder="1" applyAlignment="1">
      <alignment horizontal="center" vertical="center" textRotation="255"/>
    </xf>
    <xf numFmtId="0" fontId="23" fillId="0" borderId="0" xfId="52" applyFont="1" applyAlignment="1">
      <alignment horizontal="center" vertical="center" textRotation="255" wrapText="1"/>
      <protection/>
    </xf>
    <xf numFmtId="0" fontId="79" fillId="0" borderId="24" xfId="52" applyFont="1" applyBorder="1" applyAlignment="1">
      <alignment horizontal="center" vertical="distributed" textRotation="255" wrapText="1"/>
      <protection/>
    </xf>
    <xf numFmtId="0" fontId="79" fillId="0" borderId="13" xfId="52" applyFont="1" applyBorder="1" applyAlignment="1">
      <alignment horizontal="center" vertical="distributed" textRotation="255" wrapText="1"/>
      <protection/>
    </xf>
    <xf numFmtId="0" fontId="79" fillId="0" borderId="45" xfId="52" applyFont="1" applyBorder="1" applyAlignment="1">
      <alignment horizontal="center" vertical="distributed" textRotation="255" wrapText="1"/>
      <protection/>
    </xf>
    <xf numFmtId="0" fontId="79" fillId="0" borderId="33" xfId="52" applyFont="1" applyBorder="1" applyAlignment="1">
      <alignment horizontal="center" vertical="center" wrapText="1"/>
      <protection/>
    </xf>
    <xf numFmtId="0" fontId="79" fillId="0" borderId="39" xfId="52" applyFont="1" applyBorder="1" applyAlignment="1">
      <alignment horizontal="center" vertical="center" wrapText="1"/>
      <protection/>
    </xf>
    <xf numFmtId="0" fontId="79" fillId="0" borderId="15" xfId="52" applyFont="1" applyBorder="1" applyAlignment="1">
      <alignment horizontal="center" vertical="center" wrapText="1"/>
      <protection/>
    </xf>
    <xf numFmtId="0" fontId="79" fillId="0" borderId="41" xfId="52" applyFont="1" applyBorder="1" applyAlignment="1">
      <alignment horizontal="center" vertical="center" wrapText="1"/>
      <protection/>
    </xf>
    <xf numFmtId="0" fontId="79" fillId="0" borderId="24" xfId="52" applyFont="1" applyBorder="1" applyAlignment="1">
      <alignment horizontal="center" vertical="center"/>
      <protection/>
    </xf>
    <xf numFmtId="0" fontId="79" fillId="0" borderId="13" xfId="52" applyFont="1" applyBorder="1" applyAlignment="1">
      <alignment horizontal="center" vertical="center"/>
      <protection/>
    </xf>
    <xf numFmtId="0" fontId="79" fillId="0" borderId="45" xfId="52" applyFont="1" applyBorder="1" applyAlignment="1">
      <alignment horizontal="center" vertical="center"/>
      <protection/>
    </xf>
    <xf numFmtId="0" fontId="81" fillId="0" borderId="0" xfId="52" applyFont="1" applyAlignment="1">
      <alignment horizontal="left" vertical="center"/>
      <protection/>
    </xf>
    <xf numFmtId="0" fontId="79" fillId="0" borderId="24" xfId="52" applyFont="1" applyBorder="1" applyAlignment="1">
      <alignment horizontal="center" vertical="center" wrapText="1"/>
      <protection/>
    </xf>
    <xf numFmtId="0" fontId="79" fillId="0" borderId="13" xfId="52" applyFont="1" applyBorder="1" applyAlignment="1">
      <alignment horizontal="center" vertical="center" wrapText="1"/>
      <protection/>
    </xf>
    <xf numFmtId="0" fontId="79" fillId="0" borderId="45" xfId="52" applyFont="1" applyBorder="1" applyAlignment="1">
      <alignment horizontal="center" vertical="center" wrapText="1"/>
      <protection/>
    </xf>
    <xf numFmtId="0" fontId="79" fillId="0" borderId="40" xfId="52" applyFont="1" applyBorder="1" applyAlignment="1">
      <alignment horizontal="center" vertical="distributed" textRotation="255" wrapText="1"/>
      <protection/>
    </xf>
    <xf numFmtId="0" fontId="79" fillId="0" borderId="0" xfId="52" applyFont="1" applyBorder="1" applyAlignment="1">
      <alignment horizontal="right"/>
      <protection/>
    </xf>
    <xf numFmtId="0" fontId="82" fillId="0" borderId="0" xfId="52" applyFont="1" applyAlignment="1">
      <alignment horizontal="center" vertical="center"/>
      <protection/>
    </xf>
    <xf numFmtId="0" fontId="81" fillId="0" borderId="0" xfId="52" applyFont="1" applyAlignment="1">
      <alignment horizontal="center" vertical="center"/>
      <protection/>
    </xf>
    <xf numFmtId="0" fontId="79" fillId="0" borderId="28" xfId="52" applyFont="1" applyBorder="1" applyAlignment="1">
      <alignment horizontal="center" vertical="center"/>
      <protection/>
    </xf>
    <xf numFmtId="0" fontId="79" fillId="0" borderId="39" xfId="52" applyFont="1" applyBorder="1" applyAlignment="1">
      <alignment horizontal="center" vertical="center"/>
      <protection/>
    </xf>
    <xf numFmtId="0" fontId="79" fillId="0" borderId="0" xfId="52" applyFont="1" applyBorder="1" applyAlignment="1">
      <alignment horizontal="center" vertical="center"/>
      <protection/>
    </xf>
    <xf numFmtId="0" fontId="79" fillId="0" borderId="12" xfId="52" applyFont="1" applyBorder="1" applyAlignment="1">
      <alignment horizontal="center" vertical="center"/>
      <protection/>
    </xf>
    <xf numFmtId="0" fontId="79" fillId="0" borderId="14" xfId="52" applyFont="1" applyBorder="1" applyAlignment="1">
      <alignment horizontal="center" vertical="center"/>
      <protection/>
    </xf>
    <xf numFmtId="0" fontId="79" fillId="0" borderId="41" xfId="52" applyFont="1" applyBorder="1" applyAlignment="1">
      <alignment horizontal="center" vertical="center"/>
      <protection/>
    </xf>
    <xf numFmtId="0" fontId="79" fillId="0" borderId="28" xfId="52" applyFont="1" applyBorder="1" applyAlignment="1">
      <alignment horizontal="center" vertical="center" wrapText="1"/>
      <protection/>
    </xf>
    <xf numFmtId="0" fontId="79" fillId="0" borderId="14" xfId="52" applyFont="1" applyBorder="1" applyAlignment="1">
      <alignment horizontal="center" vertical="center" wrapText="1"/>
      <protection/>
    </xf>
    <xf numFmtId="0" fontId="79" fillId="0" borderId="40" xfId="52" applyFont="1" applyBorder="1" applyAlignment="1">
      <alignment horizontal="center" vertical="center"/>
      <protection/>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5" fillId="0" borderId="21"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0" xfId="0" applyFont="1" applyFill="1" applyBorder="1" applyAlignment="1">
      <alignment horizontal="center" vertical="center"/>
    </xf>
    <xf numFmtId="2" fontId="7" fillId="0" borderId="0" xfId="0" applyNumberFormat="1" applyFont="1" applyFill="1" applyBorder="1" applyAlignment="1">
      <alignment horizontal="center"/>
    </xf>
    <xf numFmtId="2" fontId="7" fillId="0" borderId="16" xfId="0" applyNumberFormat="1" applyFont="1" applyFill="1" applyBorder="1" applyAlignment="1">
      <alignment horizontal="center"/>
    </xf>
    <xf numFmtId="0" fontId="15" fillId="0" borderId="46" xfId="0" applyFont="1" applyFill="1" applyBorder="1" applyAlignment="1">
      <alignment horizontal="center" vertical="center" textRotation="255"/>
    </xf>
    <xf numFmtId="0" fontId="15" fillId="0" borderId="12" xfId="0" applyFont="1" applyFill="1" applyBorder="1" applyAlignment="1">
      <alignment horizontal="center" vertical="center" textRotation="255"/>
    </xf>
    <xf numFmtId="0" fontId="0" fillId="0" borderId="12" xfId="0" applyBorder="1" applyAlignment="1">
      <alignment horizontal="center" vertical="center" textRotation="255"/>
    </xf>
    <xf numFmtId="0" fontId="0" fillId="0" borderId="47" xfId="0" applyBorder="1" applyAlignment="1">
      <alignment horizontal="center" vertical="center" textRotation="255"/>
    </xf>
    <xf numFmtId="0" fontId="15" fillId="0" borderId="41" xfId="0" applyFont="1" applyFill="1" applyBorder="1" applyAlignment="1">
      <alignment horizontal="center" vertical="center" textRotation="255"/>
    </xf>
    <xf numFmtId="0" fontId="7" fillId="0" borderId="48" xfId="53" applyFont="1" applyBorder="1" applyAlignment="1">
      <alignment horizontal="center" vertical="distributed" textRotation="255" wrapText="1"/>
      <protection/>
    </xf>
    <xf numFmtId="0" fontId="7" fillId="0" borderId="49" xfId="53" applyFont="1" applyBorder="1" applyAlignment="1">
      <alignment horizontal="center" vertical="distributed" textRotation="255" wrapText="1"/>
      <protection/>
    </xf>
    <xf numFmtId="0" fontId="7" fillId="0" borderId="50" xfId="53" applyFont="1" applyBorder="1" applyAlignment="1">
      <alignment horizontal="center" vertical="distributed" textRotation="255" wrapText="1"/>
      <protection/>
    </xf>
    <xf numFmtId="0" fontId="7" fillId="0" borderId="33" xfId="53" applyFont="1" applyBorder="1" applyAlignment="1">
      <alignment horizontal="left" vertical="center"/>
      <protection/>
    </xf>
    <xf numFmtId="0" fontId="7" fillId="0" borderId="28" xfId="53" applyFont="1" applyBorder="1" applyAlignment="1">
      <alignment horizontal="left" vertical="center"/>
      <protection/>
    </xf>
    <xf numFmtId="0" fontId="7" fillId="0" borderId="23" xfId="53" applyFont="1" applyBorder="1" applyAlignment="1">
      <alignment horizontal="left" vertical="center"/>
      <protection/>
    </xf>
    <xf numFmtId="0" fontId="7" fillId="0" borderId="0" xfId="53" applyFont="1" applyBorder="1" applyAlignment="1">
      <alignment horizontal="left" vertical="center"/>
      <protection/>
    </xf>
    <xf numFmtId="0" fontId="7" fillId="0" borderId="51" xfId="53" applyFont="1" applyBorder="1" applyAlignment="1">
      <alignment horizontal="center" vertical="distributed" textRotation="255" wrapText="1"/>
      <protection/>
    </xf>
    <xf numFmtId="0" fontId="7" fillId="0" borderId="52" xfId="53" applyFont="1" applyBorder="1" applyAlignment="1">
      <alignment horizontal="center" vertical="distributed" textRotation="255" wrapText="1"/>
      <protection/>
    </xf>
    <xf numFmtId="0" fontId="7" fillId="0" borderId="53" xfId="53" applyFont="1" applyBorder="1" applyAlignment="1">
      <alignment horizontal="center" vertical="distributed" textRotation="255" wrapText="1"/>
      <protection/>
    </xf>
    <xf numFmtId="0" fontId="7" fillId="0" borderId="13" xfId="53" applyFont="1" applyBorder="1" applyAlignment="1">
      <alignment horizontal="center" vertical="distributed" textRotation="255" wrapText="1"/>
      <protection/>
    </xf>
    <xf numFmtId="0" fontId="7" fillId="0" borderId="45" xfId="53" applyFont="1" applyBorder="1" applyAlignment="1">
      <alignment horizontal="center" vertical="distributed" textRotation="255" wrapText="1"/>
      <protection/>
    </xf>
    <xf numFmtId="0" fontId="39" fillId="0" borderId="0" xfId="53" applyFont="1" applyAlignment="1">
      <alignment horizontal="center" vertical="center"/>
      <protection/>
    </xf>
    <xf numFmtId="0" fontId="12" fillId="0" borderId="0" xfId="53" applyFont="1" applyAlignment="1">
      <alignment horizontal="center" vertical="center"/>
      <protection/>
    </xf>
    <xf numFmtId="0" fontId="7" fillId="0" borderId="14" xfId="53" applyFont="1" applyBorder="1" applyAlignment="1">
      <alignment horizontal="right"/>
      <protection/>
    </xf>
    <xf numFmtId="0" fontId="7" fillId="0" borderId="28" xfId="53" applyFont="1" applyBorder="1" applyAlignment="1">
      <alignment horizontal="center" vertical="center"/>
      <protection/>
    </xf>
    <xf numFmtId="0" fontId="7" fillId="0" borderId="39" xfId="53" applyFont="1" applyBorder="1" applyAlignment="1">
      <alignment horizontal="center" vertical="center"/>
      <protection/>
    </xf>
    <xf numFmtId="0" fontId="7" fillId="0" borderId="0" xfId="53" applyFont="1" applyBorder="1" applyAlignment="1">
      <alignment horizontal="center" vertical="center"/>
      <protection/>
    </xf>
    <xf numFmtId="0" fontId="7" fillId="0" borderId="12" xfId="53" applyFont="1" applyBorder="1" applyAlignment="1">
      <alignment horizontal="center" vertical="center"/>
      <protection/>
    </xf>
    <xf numFmtId="0" fontId="7" fillId="0" borderId="14" xfId="53" applyFont="1" applyBorder="1" applyAlignment="1">
      <alignment horizontal="center" vertical="center"/>
      <protection/>
    </xf>
    <xf numFmtId="0" fontId="7" fillId="0" borderId="41" xfId="53" applyFont="1" applyBorder="1" applyAlignment="1">
      <alignment horizontal="center" vertical="center"/>
      <protection/>
    </xf>
    <xf numFmtId="0" fontId="7" fillId="0" borderId="54" xfId="53" applyFont="1" applyBorder="1" applyAlignment="1">
      <alignment horizontal="center" vertical="distributed" textRotation="255" wrapText="1"/>
      <protection/>
    </xf>
    <xf numFmtId="0" fontId="7" fillId="0" borderId="55" xfId="53" applyFont="1" applyBorder="1" applyAlignment="1">
      <alignment horizontal="center" vertical="distributed" textRotation="255" wrapText="1"/>
      <protection/>
    </xf>
    <xf numFmtId="0" fontId="0" fillId="0" borderId="19" xfId="0" applyBorder="1" applyAlignment="1">
      <alignment/>
    </xf>
    <xf numFmtId="0" fontId="0" fillId="0" borderId="20" xfId="0" applyBorder="1" applyAlignment="1">
      <alignment/>
    </xf>
    <xf numFmtId="0" fontId="5"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19" xfId="0" applyFont="1" applyFill="1" applyBorder="1" applyAlignment="1">
      <alignment horizontal="center" vertical="center"/>
    </xf>
    <xf numFmtId="0" fontId="83" fillId="38" borderId="0" xfId="0" applyFont="1" applyFill="1" applyAlignment="1">
      <alignment vertical="center"/>
    </xf>
    <xf numFmtId="0" fontId="9" fillId="0" borderId="26" xfId="0" applyFont="1" applyFill="1" applyBorder="1" applyAlignment="1">
      <alignment vertical="center" textRotation="255"/>
    </xf>
    <xf numFmtId="0" fontId="9" fillId="0" borderId="16" xfId="0" applyFont="1" applyFill="1" applyBorder="1" applyAlignment="1">
      <alignment horizontal="center" vertical="center" textRotation="255"/>
    </xf>
    <xf numFmtId="183" fontId="15" fillId="0" borderId="16" xfId="0" applyNumberFormat="1" applyFont="1" applyFill="1" applyBorder="1" applyAlignment="1">
      <alignment vertical="center"/>
    </xf>
  </cellXfs>
  <cellStyles count="9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4" xfId="53"/>
    <cellStyle name="一般 6" xfId="54"/>
    <cellStyle name="Comma" xfId="55"/>
    <cellStyle name="Comma [0]" xfId="56"/>
    <cellStyle name="Followed Hyperlink" xfId="57"/>
    <cellStyle name="中等" xfId="58"/>
    <cellStyle name="中等 2" xfId="59"/>
    <cellStyle name="合計" xfId="60"/>
    <cellStyle name="合計 2" xfId="61"/>
    <cellStyle name="好" xfId="62"/>
    <cellStyle name="好 2" xfId="63"/>
    <cellStyle name="Percent" xfId="64"/>
    <cellStyle name="計算方式" xfId="65"/>
    <cellStyle name="計算方式 2" xfId="66"/>
    <cellStyle name="Currency" xfId="67"/>
    <cellStyle name="Currency [0]" xfId="68"/>
    <cellStyle name="連結的儲存格" xfId="69"/>
    <cellStyle name="連結的儲存格 2" xfId="70"/>
    <cellStyle name="備註" xfId="71"/>
    <cellStyle name="備註 2" xfId="72"/>
    <cellStyle name="Hyperlink" xfId="73"/>
    <cellStyle name="說明文字" xfId="74"/>
    <cellStyle name="說明文字 2" xfId="75"/>
    <cellStyle name="輔色1" xfId="76"/>
    <cellStyle name="輔色1 2" xfId="77"/>
    <cellStyle name="輔色2" xfId="78"/>
    <cellStyle name="輔色2 2" xfId="79"/>
    <cellStyle name="輔色3" xfId="80"/>
    <cellStyle name="輔色3 2" xfId="81"/>
    <cellStyle name="輔色4" xfId="82"/>
    <cellStyle name="輔色4 2" xfId="83"/>
    <cellStyle name="輔色5" xfId="84"/>
    <cellStyle name="輔色5 2" xfId="85"/>
    <cellStyle name="輔色6" xfId="86"/>
    <cellStyle name="輔色6 2" xfId="87"/>
    <cellStyle name="標題" xfId="88"/>
    <cellStyle name="標題 1" xfId="89"/>
    <cellStyle name="標題 1 2" xfId="90"/>
    <cellStyle name="標題 2" xfId="91"/>
    <cellStyle name="標題 2 2" xfId="92"/>
    <cellStyle name="標題 3" xfId="93"/>
    <cellStyle name="標題 3 2" xfId="94"/>
    <cellStyle name="標題 4" xfId="95"/>
    <cellStyle name="標題 4 2" xfId="96"/>
    <cellStyle name="標題 5" xfId="97"/>
    <cellStyle name="輸入" xfId="98"/>
    <cellStyle name="輸入 2" xfId="99"/>
    <cellStyle name="輸出" xfId="100"/>
    <cellStyle name="輸出 2" xfId="101"/>
    <cellStyle name="檢查儲存格" xfId="102"/>
    <cellStyle name="檢查儲存格 2" xfId="103"/>
    <cellStyle name="壞" xfId="104"/>
    <cellStyle name="壞 2" xfId="105"/>
    <cellStyle name="警告文字" xfId="106"/>
    <cellStyle name="警告文字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8"/>
  <sheetViews>
    <sheetView tabSelected="1" view="pageBreakPreview" zoomScaleSheetLayoutView="100" zoomScalePageLayoutView="0" workbookViewId="0" topLeftCell="A1">
      <pane xSplit="2" ySplit="21" topLeftCell="C22" activePane="bottomRight" state="frozen"/>
      <selection pane="topLeft" activeCell="A1" sqref="A1"/>
      <selection pane="topRight" activeCell="C1" sqref="C1"/>
      <selection pane="bottomLeft" activeCell="A22" sqref="A22"/>
      <selection pane="bottomRight" activeCell="M27" sqref="M27"/>
    </sheetView>
  </sheetViews>
  <sheetFormatPr defaultColWidth="9.00390625" defaultRowHeight="16.5"/>
  <cols>
    <col min="1" max="1" width="5.625" style="41" customWidth="1"/>
    <col min="2" max="2" width="20.625" style="41" customWidth="1"/>
    <col min="3" max="3" width="7.00390625" style="41" customWidth="1"/>
    <col min="4" max="4" width="10.50390625" style="41" customWidth="1"/>
    <col min="5" max="5" width="11.625" style="41" bestFit="1" customWidth="1"/>
    <col min="6" max="7" width="10.50390625" style="41" customWidth="1"/>
    <col min="8" max="8" width="8.00390625" style="41" bestFit="1" customWidth="1"/>
    <col min="9" max="9" width="10.50390625" style="41" customWidth="1"/>
    <col min="10" max="10" width="11.625" style="41" bestFit="1" customWidth="1"/>
    <col min="11" max="11" width="10.50390625" style="41" customWidth="1"/>
    <col min="12" max="12" width="9.625" style="41" customWidth="1"/>
    <col min="13" max="13" width="11.625" style="102" customWidth="1"/>
    <col min="14" max="14" width="2.00390625" style="41" customWidth="1"/>
    <col min="15" max="15" width="5.75390625" style="41" customWidth="1"/>
    <col min="16" max="16384" width="9.00390625" style="41" customWidth="1"/>
  </cols>
  <sheetData>
    <row r="1" spans="1:17" ht="18" customHeight="1">
      <c r="A1" s="144" t="s">
        <v>333</v>
      </c>
      <c r="B1" s="72"/>
      <c r="C1" s="72"/>
      <c r="D1" s="73"/>
      <c r="E1" s="73"/>
      <c r="F1" s="72"/>
      <c r="G1" s="72"/>
      <c r="H1" s="71"/>
      <c r="I1" s="72"/>
      <c r="J1" s="72"/>
      <c r="K1" s="72"/>
      <c r="L1" s="72"/>
      <c r="M1" s="74"/>
      <c r="N1" s="75"/>
      <c r="O1" s="180"/>
      <c r="P1" s="180"/>
      <c r="Q1" s="180"/>
    </row>
    <row r="2" spans="1:16" ht="9" customHeight="1">
      <c r="A2" s="76"/>
      <c r="B2" s="76"/>
      <c r="C2" s="76"/>
      <c r="D2" s="76"/>
      <c r="E2" s="76"/>
      <c r="F2" s="76"/>
      <c r="G2" s="76"/>
      <c r="H2" s="76"/>
      <c r="I2" s="76"/>
      <c r="J2" s="76"/>
      <c r="K2" s="76"/>
      <c r="L2" s="76"/>
      <c r="M2" s="77"/>
      <c r="O2" s="35"/>
      <c r="P2" s="35"/>
    </row>
    <row r="3" spans="1:17" ht="12" customHeight="1" thickBot="1">
      <c r="A3" s="76"/>
      <c r="B3" s="78"/>
      <c r="C3" s="78"/>
      <c r="D3" s="78"/>
      <c r="E3" s="78"/>
      <c r="F3" s="78"/>
      <c r="G3" s="78"/>
      <c r="H3" s="78"/>
      <c r="I3" s="78"/>
      <c r="J3" s="78"/>
      <c r="K3" s="78"/>
      <c r="L3" s="78"/>
      <c r="M3" s="173" t="s">
        <v>120</v>
      </c>
      <c r="N3" s="180"/>
      <c r="O3" s="180"/>
      <c r="P3" s="180"/>
      <c r="Q3" s="180"/>
    </row>
    <row r="4" spans="1:13" s="32" customFormat="1" ht="13.5" customHeight="1">
      <c r="A4" s="426"/>
      <c r="B4" s="427"/>
      <c r="C4" s="79" t="s">
        <v>128</v>
      </c>
      <c r="D4" s="79"/>
      <c r="E4" s="79"/>
      <c r="F4" s="79"/>
      <c r="G4" s="80"/>
      <c r="H4" s="79" t="s">
        <v>129</v>
      </c>
      <c r="I4" s="79"/>
      <c r="J4" s="79"/>
      <c r="K4" s="79"/>
      <c r="L4" s="79"/>
      <c r="M4" s="81" t="s">
        <v>130</v>
      </c>
    </row>
    <row r="5" spans="1:13" s="32" customFormat="1" ht="13.5" customHeight="1" thickBot="1">
      <c r="A5" s="428"/>
      <c r="B5" s="429"/>
      <c r="C5" s="82" t="s">
        <v>131</v>
      </c>
      <c r="D5" s="83" t="s">
        <v>132</v>
      </c>
      <c r="E5" s="83" t="s">
        <v>121</v>
      </c>
      <c r="F5" s="83" t="s">
        <v>133</v>
      </c>
      <c r="G5" s="84" t="s">
        <v>134</v>
      </c>
      <c r="H5" s="82" t="s">
        <v>122</v>
      </c>
      <c r="I5" s="83" t="s">
        <v>123</v>
      </c>
      <c r="J5" s="83" t="s">
        <v>121</v>
      </c>
      <c r="K5" s="83" t="s">
        <v>133</v>
      </c>
      <c r="L5" s="83" t="s">
        <v>134</v>
      </c>
      <c r="M5" s="181" t="s">
        <v>124</v>
      </c>
    </row>
    <row r="6" spans="1:17" s="22" customFormat="1" ht="14.25" customHeight="1">
      <c r="A6" s="430" t="s">
        <v>188</v>
      </c>
      <c r="B6" s="85" t="s">
        <v>195</v>
      </c>
      <c r="C6" s="86"/>
      <c r="D6" s="86"/>
      <c r="E6" s="87" t="s">
        <v>135</v>
      </c>
      <c r="F6" s="86"/>
      <c r="G6" s="87" t="s">
        <v>135</v>
      </c>
      <c r="H6" s="87"/>
      <c r="I6" s="87" t="s">
        <v>135</v>
      </c>
      <c r="J6" s="87" t="s">
        <v>135</v>
      </c>
      <c r="K6" s="87" t="s">
        <v>135</v>
      </c>
      <c r="L6" s="87" t="s">
        <v>135</v>
      </c>
      <c r="M6" s="88"/>
      <c r="O6" s="89"/>
      <c r="Q6" s="90"/>
    </row>
    <row r="7" spans="1:17" s="22" customFormat="1" ht="13.5" customHeight="1" hidden="1">
      <c r="A7" s="431"/>
      <c r="B7" s="96" t="s">
        <v>125</v>
      </c>
      <c r="C7" s="91">
        <v>6</v>
      </c>
      <c r="D7" s="91">
        <v>6</v>
      </c>
      <c r="E7" s="93" t="s">
        <v>126</v>
      </c>
      <c r="F7" s="91">
        <v>0</v>
      </c>
      <c r="G7" s="93">
        <v>0</v>
      </c>
      <c r="H7" s="93">
        <v>6</v>
      </c>
      <c r="I7" s="93">
        <v>6</v>
      </c>
      <c r="J7" s="93" t="s">
        <v>126</v>
      </c>
      <c r="K7" s="93">
        <v>0</v>
      </c>
      <c r="L7" s="93">
        <v>0</v>
      </c>
      <c r="M7" s="94">
        <v>100</v>
      </c>
      <c r="O7" s="89"/>
      <c r="Q7" s="90"/>
    </row>
    <row r="8" spans="1:17" s="22" customFormat="1" ht="13.5" customHeight="1" hidden="1">
      <c r="A8" s="431"/>
      <c r="B8" s="96" t="s">
        <v>183</v>
      </c>
      <c r="C8" s="91">
        <v>27</v>
      </c>
      <c r="D8" s="93">
        <v>21</v>
      </c>
      <c r="E8" s="93" t="s">
        <v>126</v>
      </c>
      <c r="F8" s="93">
        <v>4</v>
      </c>
      <c r="G8" s="93">
        <v>2</v>
      </c>
      <c r="H8" s="93">
        <v>31</v>
      </c>
      <c r="I8" s="95">
        <v>21</v>
      </c>
      <c r="J8" s="93" t="s">
        <v>126</v>
      </c>
      <c r="K8" s="95">
        <v>8</v>
      </c>
      <c r="L8" s="93">
        <v>2</v>
      </c>
      <c r="M8" s="94">
        <v>67.741935483871</v>
      </c>
      <c r="O8" s="89"/>
      <c r="P8" s="90"/>
      <c r="Q8" s="90"/>
    </row>
    <row r="9" spans="1:17" s="22" customFormat="1" ht="13.5" customHeight="1" hidden="1">
      <c r="A9" s="431"/>
      <c r="B9" s="96" t="s">
        <v>182</v>
      </c>
      <c r="C9" s="97">
        <v>16</v>
      </c>
      <c r="D9" s="97">
        <v>10</v>
      </c>
      <c r="E9" s="97">
        <v>0</v>
      </c>
      <c r="F9" s="97">
        <v>6</v>
      </c>
      <c r="G9" s="97">
        <v>0</v>
      </c>
      <c r="H9" s="97">
        <v>21</v>
      </c>
      <c r="I9" s="97">
        <v>14</v>
      </c>
      <c r="J9" s="97">
        <v>0</v>
      </c>
      <c r="K9" s="97">
        <v>7</v>
      </c>
      <c r="L9" s="97">
        <v>0</v>
      </c>
      <c r="M9" s="94">
        <v>66.6666666666667</v>
      </c>
      <c r="O9" s="89"/>
      <c r="P9" s="90"/>
      <c r="Q9" s="90"/>
    </row>
    <row r="10" spans="1:17" s="22" customFormat="1" ht="13.5" customHeight="1" hidden="1">
      <c r="A10" s="431"/>
      <c r="B10" s="96" t="s">
        <v>184</v>
      </c>
      <c r="C10" s="97">
        <v>29</v>
      </c>
      <c r="D10" s="97">
        <v>19</v>
      </c>
      <c r="E10" s="97">
        <v>0</v>
      </c>
      <c r="F10" s="97">
        <v>8</v>
      </c>
      <c r="G10" s="97">
        <v>2</v>
      </c>
      <c r="H10" s="97">
        <v>35</v>
      </c>
      <c r="I10" s="97">
        <v>20</v>
      </c>
      <c r="J10" s="97">
        <v>0</v>
      </c>
      <c r="K10" s="97">
        <v>13</v>
      </c>
      <c r="L10" s="97">
        <v>2</v>
      </c>
      <c r="M10" s="94">
        <v>57.1428571428571</v>
      </c>
      <c r="O10" s="89"/>
      <c r="P10" s="90"/>
      <c r="Q10" s="90"/>
    </row>
    <row r="11" spans="1:17" s="22" customFormat="1" ht="13.5" customHeight="1" hidden="1">
      <c r="A11" s="431"/>
      <c r="B11" s="96" t="s">
        <v>185</v>
      </c>
      <c r="C11" s="97">
        <v>19</v>
      </c>
      <c r="D11" s="97">
        <v>13</v>
      </c>
      <c r="E11" s="97">
        <v>2</v>
      </c>
      <c r="F11" s="97">
        <v>3</v>
      </c>
      <c r="G11" s="97">
        <v>1</v>
      </c>
      <c r="H11" s="97">
        <v>22</v>
      </c>
      <c r="I11" s="97">
        <v>14</v>
      </c>
      <c r="J11" s="97">
        <v>2</v>
      </c>
      <c r="K11" s="97">
        <v>3</v>
      </c>
      <c r="L11" s="97">
        <v>3</v>
      </c>
      <c r="M11" s="249">
        <v>63.6363636363636</v>
      </c>
      <c r="O11" s="89"/>
      <c r="P11" s="90"/>
      <c r="Q11" s="90"/>
    </row>
    <row r="12" spans="1:17" s="22" customFormat="1" ht="13.5" customHeight="1" hidden="1">
      <c r="A12" s="431"/>
      <c r="B12" s="96" t="s">
        <v>186</v>
      </c>
      <c r="C12" s="97">
        <f aca="true" t="shared" si="0" ref="C12:C18">SUM(D12:G12)</f>
        <v>20</v>
      </c>
      <c r="D12" s="97">
        <v>5</v>
      </c>
      <c r="E12" s="97">
        <v>5</v>
      </c>
      <c r="F12" s="97">
        <v>7</v>
      </c>
      <c r="G12" s="97">
        <v>3</v>
      </c>
      <c r="H12" s="97">
        <f aca="true" t="shared" si="1" ref="H12:H18">SUM(I12:L12)</f>
        <v>28</v>
      </c>
      <c r="I12" s="97">
        <v>7</v>
      </c>
      <c r="J12" s="97">
        <v>5</v>
      </c>
      <c r="K12" s="97">
        <v>13</v>
      </c>
      <c r="L12" s="97">
        <v>3</v>
      </c>
      <c r="M12" s="249">
        <f aca="true" t="shared" si="2" ref="M12:M18">+I12/H12*100</f>
        <v>25</v>
      </c>
      <c r="O12" s="89"/>
      <c r="P12" s="90"/>
      <c r="Q12" s="90"/>
    </row>
    <row r="13" spans="1:17" s="22" customFormat="1" ht="13.5" customHeight="1" hidden="1">
      <c r="A13" s="431"/>
      <c r="B13" s="96" t="s">
        <v>190</v>
      </c>
      <c r="C13" s="97">
        <f t="shared" si="0"/>
        <v>37</v>
      </c>
      <c r="D13" s="97">
        <f>5+18</f>
        <v>23</v>
      </c>
      <c r="E13" s="97">
        <v>6</v>
      </c>
      <c r="F13" s="97">
        <v>3</v>
      </c>
      <c r="G13" s="97">
        <v>5</v>
      </c>
      <c r="H13" s="97">
        <f t="shared" si="1"/>
        <v>41</v>
      </c>
      <c r="I13" s="97">
        <f>5+19+1</f>
        <v>25</v>
      </c>
      <c r="J13" s="97">
        <f>4+2</f>
        <v>6</v>
      </c>
      <c r="K13" s="97">
        <f>2+3</f>
        <v>5</v>
      </c>
      <c r="L13" s="97">
        <v>5</v>
      </c>
      <c r="M13" s="249">
        <f t="shared" si="2"/>
        <v>60.97560975609756</v>
      </c>
      <c r="O13" s="89"/>
      <c r="P13" s="90"/>
      <c r="Q13" s="90"/>
    </row>
    <row r="14" spans="1:17" s="22" customFormat="1" ht="13.5" customHeight="1" hidden="1">
      <c r="A14" s="431"/>
      <c r="B14" s="96" t="s">
        <v>251</v>
      </c>
      <c r="C14" s="97">
        <f t="shared" si="0"/>
        <v>29</v>
      </c>
      <c r="D14" s="97">
        <f>3+21</f>
        <v>24</v>
      </c>
      <c r="E14" s="97">
        <v>3</v>
      </c>
      <c r="F14" s="97">
        <v>1</v>
      </c>
      <c r="G14" s="97">
        <v>1</v>
      </c>
      <c r="H14" s="97">
        <f t="shared" si="1"/>
        <v>41</v>
      </c>
      <c r="I14" s="97">
        <f>4+1+1+24+1</f>
        <v>31</v>
      </c>
      <c r="J14" s="97">
        <v>4</v>
      </c>
      <c r="K14" s="97">
        <v>4</v>
      </c>
      <c r="L14" s="97">
        <v>2</v>
      </c>
      <c r="M14" s="249">
        <f t="shared" si="2"/>
        <v>75.60975609756098</v>
      </c>
      <c r="O14" s="89"/>
      <c r="P14" s="90"/>
      <c r="Q14" s="90"/>
    </row>
    <row r="15" spans="1:17" s="22" customFormat="1" ht="13.5" customHeight="1" hidden="1">
      <c r="A15" s="431"/>
      <c r="B15" s="96" t="s">
        <v>206</v>
      </c>
      <c r="C15" s="97">
        <f t="shared" si="0"/>
        <v>32</v>
      </c>
      <c r="D15" s="97">
        <v>26</v>
      </c>
      <c r="E15" s="97">
        <v>3</v>
      </c>
      <c r="F15" s="97">
        <v>2</v>
      </c>
      <c r="G15" s="97">
        <v>1</v>
      </c>
      <c r="H15" s="97">
        <f t="shared" si="1"/>
        <v>38</v>
      </c>
      <c r="I15" s="97">
        <v>29</v>
      </c>
      <c r="J15" s="97">
        <v>3</v>
      </c>
      <c r="K15" s="97">
        <v>5</v>
      </c>
      <c r="L15" s="97">
        <v>1</v>
      </c>
      <c r="M15" s="249">
        <f t="shared" si="2"/>
        <v>76.31578947368422</v>
      </c>
      <c r="O15" s="89"/>
      <c r="P15" s="90"/>
      <c r="Q15" s="90"/>
    </row>
    <row r="16" spans="1:17" s="22" customFormat="1" ht="13.5" customHeight="1" hidden="1">
      <c r="A16" s="431"/>
      <c r="B16" s="96" t="s">
        <v>234</v>
      </c>
      <c r="C16" s="97">
        <f t="shared" si="0"/>
        <v>26</v>
      </c>
      <c r="D16" s="97">
        <f>2+14</f>
        <v>16</v>
      </c>
      <c r="E16" s="97">
        <v>4</v>
      </c>
      <c r="F16" s="97">
        <v>5</v>
      </c>
      <c r="G16" s="97">
        <v>1</v>
      </c>
      <c r="H16" s="97">
        <f t="shared" si="1"/>
        <v>36</v>
      </c>
      <c r="I16" s="97">
        <f>3+12+2</f>
        <v>17</v>
      </c>
      <c r="J16" s="97">
        <v>4</v>
      </c>
      <c r="K16" s="97">
        <f>11+3</f>
        <v>14</v>
      </c>
      <c r="L16" s="97">
        <v>1</v>
      </c>
      <c r="M16" s="249">
        <f t="shared" si="2"/>
        <v>47.22222222222222</v>
      </c>
      <c r="O16" s="89"/>
      <c r="P16" s="90"/>
      <c r="Q16" s="90"/>
    </row>
    <row r="17" spans="1:17" s="22" customFormat="1" ht="13.5" customHeight="1" hidden="1">
      <c r="A17" s="431"/>
      <c r="B17" s="96" t="s">
        <v>238</v>
      </c>
      <c r="C17" s="97">
        <f t="shared" si="0"/>
        <v>23</v>
      </c>
      <c r="D17" s="97">
        <f>3+10</f>
        <v>13</v>
      </c>
      <c r="E17" s="97">
        <v>3</v>
      </c>
      <c r="F17" s="97">
        <v>7</v>
      </c>
      <c r="G17" s="97">
        <v>0</v>
      </c>
      <c r="H17" s="97">
        <f t="shared" si="1"/>
        <v>31</v>
      </c>
      <c r="I17" s="97">
        <f>8+11</f>
        <v>19</v>
      </c>
      <c r="J17" s="97">
        <v>4</v>
      </c>
      <c r="K17" s="97">
        <v>8</v>
      </c>
      <c r="L17" s="97">
        <v>0</v>
      </c>
      <c r="M17" s="249">
        <f t="shared" si="2"/>
        <v>61.29032258064516</v>
      </c>
      <c r="O17" s="89"/>
      <c r="P17" s="90"/>
      <c r="Q17" s="90"/>
    </row>
    <row r="18" spans="1:17" s="22" customFormat="1" ht="14.25" customHeight="1" hidden="1">
      <c r="A18" s="431"/>
      <c r="B18" s="96" t="s">
        <v>247</v>
      </c>
      <c r="C18" s="97">
        <f t="shared" si="0"/>
        <v>32</v>
      </c>
      <c r="D18" s="97">
        <f>5+16</f>
        <v>21</v>
      </c>
      <c r="E18" s="97">
        <v>4</v>
      </c>
      <c r="F18" s="97">
        <v>6</v>
      </c>
      <c r="G18" s="97">
        <v>1</v>
      </c>
      <c r="H18" s="97">
        <f t="shared" si="1"/>
        <v>70</v>
      </c>
      <c r="I18" s="97">
        <f>5+16</f>
        <v>21</v>
      </c>
      <c r="J18" s="97">
        <v>32</v>
      </c>
      <c r="K18" s="97">
        <v>15</v>
      </c>
      <c r="L18" s="97">
        <v>2</v>
      </c>
      <c r="M18" s="249">
        <f t="shared" si="2"/>
        <v>30</v>
      </c>
      <c r="O18" s="89"/>
      <c r="P18" s="90"/>
      <c r="Q18" s="90"/>
    </row>
    <row r="19" spans="1:17" s="22" customFormat="1" ht="14.25" customHeight="1" hidden="1">
      <c r="A19" s="431"/>
      <c r="B19" s="96" t="s">
        <v>253</v>
      </c>
      <c r="C19" s="97">
        <f aca="true" t="shared" si="3" ref="C19:C26">SUM(D19:G19)</f>
        <v>22</v>
      </c>
      <c r="D19" s="97">
        <f>5+13</f>
        <v>18</v>
      </c>
      <c r="E19" s="97">
        <v>2</v>
      </c>
      <c r="F19" s="97">
        <v>2</v>
      </c>
      <c r="G19" s="97">
        <v>0</v>
      </c>
      <c r="H19" s="97">
        <f aca="true" t="shared" si="4" ref="H19:H26">SUM(I19:L19)</f>
        <v>27</v>
      </c>
      <c r="I19" s="97">
        <f>6+13</f>
        <v>19</v>
      </c>
      <c r="J19" s="97">
        <v>2</v>
      </c>
      <c r="K19" s="97">
        <v>5</v>
      </c>
      <c r="L19" s="97">
        <v>1</v>
      </c>
      <c r="M19" s="249">
        <f aca="true" t="shared" si="5" ref="M19:M26">+I19/H19*100</f>
        <v>70.37037037037037</v>
      </c>
      <c r="O19" s="89"/>
      <c r="P19" s="90"/>
      <c r="Q19" s="90"/>
    </row>
    <row r="20" spans="1:17" s="22" customFormat="1" ht="14.25" customHeight="1" hidden="1">
      <c r="A20" s="431"/>
      <c r="B20" s="96" t="s">
        <v>263</v>
      </c>
      <c r="C20" s="97">
        <f t="shared" si="3"/>
        <v>21</v>
      </c>
      <c r="D20" s="97">
        <v>11</v>
      </c>
      <c r="E20" s="97">
        <v>4</v>
      </c>
      <c r="F20" s="97">
        <v>3</v>
      </c>
      <c r="G20" s="97">
        <v>3</v>
      </c>
      <c r="H20" s="97">
        <f t="shared" si="4"/>
        <v>21</v>
      </c>
      <c r="I20" s="97">
        <v>11</v>
      </c>
      <c r="J20" s="97">
        <v>4</v>
      </c>
      <c r="K20" s="97">
        <v>3</v>
      </c>
      <c r="L20" s="97">
        <v>3</v>
      </c>
      <c r="M20" s="249">
        <f t="shared" si="5"/>
        <v>52.38095238095239</v>
      </c>
      <c r="O20" s="89"/>
      <c r="P20" s="90"/>
      <c r="Q20" s="90"/>
    </row>
    <row r="21" spans="1:17" s="22" customFormat="1" ht="14.25" customHeight="1" hidden="1">
      <c r="A21" s="431"/>
      <c r="B21" s="96" t="s">
        <v>272</v>
      </c>
      <c r="C21" s="97">
        <f t="shared" si="3"/>
        <v>26</v>
      </c>
      <c r="D21" s="97">
        <v>11</v>
      </c>
      <c r="E21" s="97">
        <v>10</v>
      </c>
      <c r="F21" s="97">
        <v>5</v>
      </c>
      <c r="G21" s="97">
        <v>0</v>
      </c>
      <c r="H21" s="97">
        <f t="shared" si="4"/>
        <v>30</v>
      </c>
      <c r="I21" s="97">
        <v>14</v>
      </c>
      <c r="J21" s="97">
        <v>10</v>
      </c>
      <c r="K21" s="97">
        <v>6</v>
      </c>
      <c r="L21" s="97">
        <v>0</v>
      </c>
      <c r="M21" s="249">
        <f t="shared" si="5"/>
        <v>46.666666666666664</v>
      </c>
      <c r="O21" s="89"/>
      <c r="P21" s="90"/>
      <c r="Q21" s="90"/>
    </row>
    <row r="22" spans="1:17" s="22" customFormat="1" ht="14.25" hidden="1">
      <c r="A22" s="431"/>
      <c r="B22" s="96" t="s">
        <v>276</v>
      </c>
      <c r="C22" s="97">
        <f t="shared" si="3"/>
        <v>52</v>
      </c>
      <c r="D22" s="97">
        <f>13+26</f>
        <v>39</v>
      </c>
      <c r="E22" s="97">
        <v>8</v>
      </c>
      <c r="F22" s="97">
        <v>4</v>
      </c>
      <c r="G22" s="97">
        <v>1</v>
      </c>
      <c r="H22" s="97">
        <f t="shared" si="4"/>
        <v>58</v>
      </c>
      <c r="I22" s="97">
        <f>7+5+2+27+1</f>
        <v>42</v>
      </c>
      <c r="J22" s="97">
        <v>8</v>
      </c>
      <c r="K22" s="97">
        <v>7</v>
      </c>
      <c r="L22" s="97">
        <v>1</v>
      </c>
      <c r="M22" s="249">
        <f t="shared" si="5"/>
        <v>72.41379310344827</v>
      </c>
      <c r="O22" s="273">
        <f aca="true" t="shared" si="6" ref="O22:O27">+M22-M21</f>
        <v>25.747126436781606</v>
      </c>
      <c r="P22" s="90"/>
      <c r="Q22" s="90"/>
    </row>
    <row r="23" spans="1:17" s="22" customFormat="1" ht="14.25">
      <c r="A23" s="431"/>
      <c r="B23" s="96" t="s">
        <v>302</v>
      </c>
      <c r="C23" s="97">
        <f t="shared" si="3"/>
        <v>29</v>
      </c>
      <c r="D23" s="97">
        <f>4+15</f>
        <v>19</v>
      </c>
      <c r="E23" s="97">
        <v>6</v>
      </c>
      <c r="F23" s="97">
        <v>1</v>
      </c>
      <c r="G23" s="97">
        <v>3</v>
      </c>
      <c r="H23" s="97">
        <f t="shared" si="4"/>
        <v>33</v>
      </c>
      <c r="I23" s="97">
        <f>3+14+1+3</f>
        <v>21</v>
      </c>
      <c r="J23" s="97">
        <v>7</v>
      </c>
      <c r="K23" s="97">
        <v>2</v>
      </c>
      <c r="L23" s="97">
        <v>3</v>
      </c>
      <c r="M23" s="249">
        <f t="shared" si="5"/>
        <v>63.63636363636363</v>
      </c>
      <c r="O23" s="273">
        <f t="shared" si="6"/>
        <v>-8.777429467084637</v>
      </c>
      <c r="P23" s="90"/>
      <c r="Q23" s="90"/>
    </row>
    <row r="24" spans="1:17" s="22" customFormat="1" ht="14.25">
      <c r="A24" s="431"/>
      <c r="B24" s="96" t="s">
        <v>310</v>
      </c>
      <c r="C24" s="97">
        <f t="shared" si="3"/>
        <v>30</v>
      </c>
      <c r="D24" s="97">
        <v>19</v>
      </c>
      <c r="E24" s="97">
        <v>6</v>
      </c>
      <c r="F24" s="97">
        <v>4</v>
      </c>
      <c r="G24" s="97">
        <v>1</v>
      </c>
      <c r="H24" s="97">
        <f t="shared" si="4"/>
        <v>39</v>
      </c>
      <c r="I24" s="97">
        <f>12+10</f>
        <v>22</v>
      </c>
      <c r="J24" s="97">
        <v>6</v>
      </c>
      <c r="K24" s="97">
        <v>9</v>
      </c>
      <c r="L24" s="97">
        <v>2</v>
      </c>
      <c r="M24" s="249">
        <f t="shared" si="5"/>
        <v>56.41025641025641</v>
      </c>
      <c r="O24" s="273">
        <f t="shared" si="6"/>
        <v>-7.226107226107224</v>
      </c>
      <c r="P24" s="90"/>
      <c r="Q24" s="90"/>
    </row>
    <row r="25" spans="1:17" s="22" customFormat="1" ht="14.25">
      <c r="A25" s="431"/>
      <c r="B25" s="96" t="s">
        <v>319</v>
      </c>
      <c r="C25" s="91">
        <f t="shared" si="3"/>
        <v>50</v>
      </c>
      <c r="D25" s="91">
        <v>28</v>
      </c>
      <c r="E25" s="91">
        <v>11</v>
      </c>
      <c r="F25" s="91">
        <v>8</v>
      </c>
      <c r="G25" s="91">
        <v>3</v>
      </c>
      <c r="H25" s="91">
        <f t="shared" si="4"/>
        <v>61</v>
      </c>
      <c r="I25" s="91">
        <v>30</v>
      </c>
      <c r="J25" s="91">
        <v>11</v>
      </c>
      <c r="K25" s="91">
        <v>15</v>
      </c>
      <c r="L25" s="91">
        <v>5</v>
      </c>
      <c r="M25" s="249">
        <f t="shared" si="5"/>
        <v>49.18032786885246</v>
      </c>
      <c r="O25" s="273">
        <f t="shared" si="6"/>
        <v>-7.22992854140395</v>
      </c>
      <c r="P25" s="90"/>
      <c r="Q25" s="90"/>
    </row>
    <row r="26" spans="1:17" s="22" customFormat="1" ht="14.25">
      <c r="A26" s="431"/>
      <c r="B26" s="96" t="s">
        <v>325</v>
      </c>
      <c r="C26" s="91">
        <f t="shared" si="3"/>
        <v>62</v>
      </c>
      <c r="D26" s="91">
        <f>23+13</f>
        <v>36</v>
      </c>
      <c r="E26" s="91">
        <v>13</v>
      </c>
      <c r="F26" s="91">
        <v>10</v>
      </c>
      <c r="G26" s="91">
        <v>3</v>
      </c>
      <c r="H26" s="91">
        <f t="shared" si="4"/>
        <v>89</v>
      </c>
      <c r="I26" s="91">
        <v>52</v>
      </c>
      <c r="J26" s="91">
        <v>17</v>
      </c>
      <c r="K26" s="91">
        <v>16</v>
      </c>
      <c r="L26" s="91">
        <v>4</v>
      </c>
      <c r="M26" s="249">
        <f t="shared" si="5"/>
        <v>58.42696629213483</v>
      </c>
      <c r="O26" s="273">
        <f t="shared" si="6"/>
        <v>9.24663842328237</v>
      </c>
      <c r="P26" s="90"/>
      <c r="Q26" s="90"/>
    </row>
    <row r="27" spans="1:17" s="22" customFormat="1" ht="14.25">
      <c r="A27" s="431"/>
      <c r="B27" s="96" t="s">
        <v>358</v>
      </c>
      <c r="C27" s="334">
        <f>SUM(D27:G27)</f>
        <v>59</v>
      </c>
      <c r="D27" s="334">
        <v>28</v>
      </c>
      <c r="E27" s="334">
        <v>24</v>
      </c>
      <c r="F27" s="334">
        <v>6</v>
      </c>
      <c r="G27" s="334">
        <v>1</v>
      </c>
      <c r="H27" s="334">
        <v>94</v>
      </c>
      <c r="I27" s="334">
        <v>45</v>
      </c>
      <c r="J27" s="334">
        <v>34</v>
      </c>
      <c r="K27" s="334">
        <v>13</v>
      </c>
      <c r="L27" s="334">
        <v>2</v>
      </c>
      <c r="M27" s="335">
        <f>I27/H27*100</f>
        <v>47.87234042553192</v>
      </c>
      <c r="O27" s="273">
        <f t="shared" si="6"/>
        <v>-10.554625866602912</v>
      </c>
      <c r="P27" s="90"/>
      <c r="Q27" s="90"/>
    </row>
    <row r="28" spans="1:17" s="22" customFormat="1" ht="13.5" customHeight="1">
      <c r="A28" s="431"/>
      <c r="B28" s="99" t="s">
        <v>136</v>
      </c>
      <c r="C28" s="91"/>
      <c r="D28" s="91"/>
      <c r="E28" s="93"/>
      <c r="F28" s="91"/>
      <c r="G28" s="93"/>
      <c r="H28" s="93"/>
      <c r="I28" s="93"/>
      <c r="J28" s="93"/>
      <c r="K28" s="93"/>
      <c r="L28" s="93"/>
      <c r="M28" s="249"/>
      <c r="O28" s="89"/>
      <c r="Q28" s="90"/>
    </row>
    <row r="29" spans="1:17" s="22" customFormat="1" ht="13.5" customHeight="1" hidden="1">
      <c r="A29" s="431"/>
      <c r="B29" s="96" t="s">
        <v>127</v>
      </c>
      <c r="C29" s="91">
        <v>3</v>
      </c>
      <c r="D29" s="91">
        <v>3</v>
      </c>
      <c r="E29" s="93" t="s">
        <v>126</v>
      </c>
      <c r="F29" s="91">
        <v>0</v>
      </c>
      <c r="G29" s="93">
        <v>0</v>
      </c>
      <c r="H29" s="93">
        <v>3</v>
      </c>
      <c r="I29" s="93">
        <v>3</v>
      </c>
      <c r="J29" s="93" t="s">
        <v>126</v>
      </c>
      <c r="K29" s="93">
        <v>0</v>
      </c>
      <c r="L29" s="93">
        <v>0</v>
      </c>
      <c r="M29" s="249">
        <v>100</v>
      </c>
      <c r="O29" s="89"/>
      <c r="Q29" s="90"/>
    </row>
    <row r="30" spans="1:17" s="22" customFormat="1" ht="13.5" customHeight="1" hidden="1">
      <c r="A30" s="432"/>
      <c r="B30" s="96" t="s">
        <v>183</v>
      </c>
      <c r="C30" s="91">
        <v>65</v>
      </c>
      <c r="D30" s="93">
        <v>42</v>
      </c>
      <c r="E30" s="93" t="s">
        <v>126</v>
      </c>
      <c r="F30" s="93">
        <v>18</v>
      </c>
      <c r="G30" s="93">
        <v>5</v>
      </c>
      <c r="H30" s="93">
        <v>76</v>
      </c>
      <c r="I30" s="93">
        <v>47</v>
      </c>
      <c r="J30" s="93" t="s">
        <v>126</v>
      </c>
      <c r="K30" s="93">
        <v>23</v>
      </c>
      <c r="L30" s="93">
        <v>6</v>
      </c>
      <c r="M30" s="249">
        <v>61.8421052631579</v>
      </c>
      <c r="O30" s="89"/>
      <c r="P30" s="90"/>
      <c r="Q30" s="90"/>
    </row>
    <row r="31" spans="1:17" s="22" customFormat="1" ht="13.5" customHeight="1" hidden="1">
      <c r="A31" s="432"/>
      <c r="B31" s="96" t="s">
        <v>182</v>
      </c>
      <c r="C31" s="91">
        <v>90</v>
      </c>
      <c r="D31" s="91">
        <v>68</v>
      </c>
      <c r="E31" s="91">
        <v>0</v>
      </c>
      <c r="F31" s="91">
        <v>15</v>
      </c>
      <c r="G31" s="91">
        <v>7</v>
      </c>
      <c r="H31" s="91">
        <v>83</v>
      </c>
      <c r="I31" s="91">
        <v>67</v>
      </c>
      <c r="J31" s="93">
        <v>0</v>
      </c>
      <c r="K31" s="91">
        <v>9</v>
      </c>
      <c r="L31" s="91">
        <v>7</v>
      </c>
      <c r="M31" s="249">
        <v>80.7228915662651</v>
      </c>
      <c r="O31" s="89"/>
      <c r="P31" s="90"/>
      <c r="Q31" s="90"/>
    </row>
    <row r="32" spans="1:17" s="22" customFormat="1" ht="13.5" customHeight="1" hidden="1">
      <c r="A32" s="432"/>
      <c r="B32" s="96" t="s">
        <v>184</v>
      </c>
      <c r="C32" s="91">
        <v>78</v>
      </c>
      <c r="D32" s="91">
        <v>54</v>
      </c>
      <c r="E32" s="91">
        <v>7</v>
      </c>
      <c r="F32" s="91">
        <v>13</v>
      </c>
      <c r="G32" s="91">
        <v>4</v>
      </c>
      <c r="H32" s="91">
        <v>101</v>
      </c>
      <c r="I32" s="91">
        <v>65</v>
      </c>
      <c r="J32" s="91">
        <v>11</v>
      </c>
      <c r="K32" s="91">
        <v>20</v>
      </c>
      <c r="L32" s="91">
        <v>5</v>
      </c>
      <c r="M32" s="249">
        <v>64.3564356435644</v>
      </c>
      <c r="O32" s="89"/>
      <c r="P32" s="90"/>
      <c r="Q32" s="90"/>
    </row>
    <row r="33" spans="1:17" s="22" customFormat="1" ht="13.5" customHeight="1" hidden="1">
      <c r="A33" s="432"/>
      <c r="B33" s="96" t="s">
        <v>185</v>
      </c>
      <c r="C33" s="91">
        <v>44</v>
      </c>
      <c r="D33" s="91">
        <v>28</v>
      </c>
      <c r="E33" s="91">
        <v>8</v>
      </c>
      <c r="F33" s="91">
        <v>5</v>
      </c>
      <c r="G33" s="91">
        <v>3</v>
      </c>
      <c r="H33" s="91">
        <v>47</v>
      </c>
      <c r="I33" s="91">
        <v>29</v>
      </c>
      <c r="J33" s="91">
        <v>8</v>
      </c>
      <c r="K33" s="91">
        <v>6</v>
      </c>
      <c r="L33" s="91">
        <v>4</v>
      </c>
      <c r="M33" s="249">
        <v>61.7021276595745</v>
      </c>
      <c r="O33" s="89"/>
      <c r="P33" s="90"/>
      <c r="Q33" s="90"/>
    </row>
    <row r="34" spans="1:17" s="22" customFormat="1" ht="13.5" customHeight="1" hidden="1">
      <c r="A34" s="432"/>
      <c r="B34" s="96" t="s">
        <v>186</v>
      </c>
      <c r="C34" s="91">
        <f aca="true" t="shared" si="7" ref="C34:C42">SUM(D34:G34)</f>
        <v>31</v>
      </c>
      <c r="D34" s="91">
        <v>22</v>
      </c>
      <c r="E34" s="91">
        <v>2</v>
      </c>
      <c r="F34" s="91">
        <v>4</v>
      </c>
      <c r="G34" s="91">
        <v>3</v>
      </c>
      <c r="H34" s="91">
        <f aca="true" t="shared" si="8" ref="H34:H48">SUM(I34:L34)</f>
        <v>33</v>
      </c>
      <c r="I34" s="91">
        <v>22</v>
      </c>
      <c r="J34" s="91">
        <v>3</v>
      </c>
      <c r="K34" s="91">
        <v>5</v>
      </c>
      <c r="L34" s="91">
        <v>3</v>
      </c>
      <c r="M34" s="249">
        <f aca="true" t="shared" si="9" ref="M34:M48">+I34/H34*100</f>
        <v>66.66666666666666</v>
      </c>
      <c r="O34" s="89"/>
      <c r="P34" s="90"/>
      <c r="Q34" s="90"/>
    </row>
    <row r="35" spans="1:17" s="22" customFormat="1" ht="13.5" customHeight="1" hidden="1">
      <c r="A35" s="432"/>
      <c r="B35" s="96" t="s">
        <v>190</v>
      </c>
      <c r="C35" s="91">
        <f t="shared" si="7"/>
        <v>57</v>
      </c>
      <c r="D35" s="91">
        <f>7+32</f>
        <v>39</v>
      </c>
      <c r="E35" s="91">
        <v>7</v>
      </c>
      <c r="F35" s="91">
        <v>6</v>
      </c>
      <c r="G35" s="91">
        <v>5</v>
      </c>
      <c r="H35" s="91">
        <f t="shared" si="8"/>
        <v>71</v>
      </c>
      <c r="I35" s="91">
        <f>4+1+2+25+2+13</f>
        <v>47</v>
      </c>
      <c r="J35" s="91">
        <v>8</v>
      </c>
      <c r="K35" s="91">
        <v>6</v>
      </c>
      <c r="L35" s="91">
        <v>10</v>
      </c>
      <c r="M35" s="249">
        <f t="shared" si="9"/>
        <v>66.19718309859155</v>
      </c>
      <c r="O35" s="89"/>
      <c r="P35" s="90"/>
      <c r="Q35" s="90"/>
    </row>
    <row r="36" spans="1:17" s="22" customFormat="1" ht="13.5" customHeight="1" hidden="1">
      <c r="A36" s="431"/>
      <c r="B36" s="96" t="s">
        <v>201</v>
      </c>
      <c r="C36" s="91">
        <f t="shared" si="7"/>
        <v>80</v>
      </c>
      <c r="D36" s="91">
        <f>18+44</f>
        <v>62</v>
      </c>
      <c r="E36" s="91">
        <v>10</v>
      </c>
      <c r="F36" s="91">
        <v>4</v>
      </c>
      <c r="G36" s="91">
        <v>4</v>
      </c>
      <c r="H36" s="91">
        <f t="shared" si="8"/>
        <v>106</v>
      </c>
      <c r="I36" s="91">
        <f>15+2+9+39+4+12</f>
        <v>81</v>
      </c>
      <c r="J36" s="91">
        <f>9+2+1</f>
        <v>12</v>
      </c>
      <c r="K36" s="91">
        <f>5+2+1</f>
        <v>8</v>
      </c>
      <c r="L36" s="91">
        <f>3+1+1</f>
        <v>5</v>
      </c>
      <c r="M36" s="249">
        <f t="shared" si="9"/>
        <v>76.41509433962264</v>
      </c>
      <c r="O36" s="89"/>
      <c r="P36" s="90"/>
      <c r="Q36" s="90"/>
    </row>
    <row r="37" spans="1:17" s="22" customFormat="1" ht="13.5" customHeight="1" hidden="1">
      <c r="A37" s="431"/>
      <c r="B37" s="96" t="s">
        <v>206</v>
      </c>
      <c r="C37" s="91">
        <f t="shared" si="7"/>
        <v>65</v>
      </c>
      <c r="D37" s="91">
        <v>44</v>
      </c>
      <c r="E37" s="91">
        <v>7</v>
      </c>
      <c r="F37" s="91">
        <v>14</v>
      </c>
      <c r="G37" s="91">
        <v>0</v>
      </c>
      <c r="H37" s="91">
        <f t="shared" si="8"/>
        <v>78</v>
      </c>
      <c r="I37" s="91">
        <v>51</v>
      </c>
      <c r="J37" s="91">
        <v>7</v>
      </c>
      <c r="K37" s="91">
        <v>19</v>
      </c>
      <c r="L37" s="91">
        <v>1</v>
      </c>
      <c r="M37" s="249">
        <f t="shared" si="9"/>
        <v>65.38461538461539</v>
      </c>
      <c r="O37" s="89"/>
      <c r="P37" s="90"/>
      <c r="Q37" s="90"/>
    </row>
    <row r="38" spans="1:17" s="22" customFormat="1" ht="13.5" customHeight="1" hidden="1">
      <c r="A38" s="431"/>
      <c r="B38" s="96" t="s">
        <v>234</v>
      </c>
      <c r="C38" s="91">
        <f t="shared" si="7"/>
        <v>44</v>
      </c>
      <c r="D38" s="91">
        <f>9+16</f>
        <v>25</v>
      </c>
      <c r="E38" s="91">
        <v>6</v>
      </c>
      <c r="F38" s="91">
        <v>9</v>
      </c>
      <c r="G38" s="91">
        <v>4</v>
      </c>
      <c r="H38" s="91">
        <f t="shared" si="8"/>
        <v>56</v>
      </c>
      <c r="I38" s="91">
        <f>8+1+1+12+3+4</f>
        <v>29</v>
      </c>
      <c r="J38" s="91">
        <v>7</v>
      </c>
      <c r="K38" s="91">
        <v>16</v>
      </c>
      <c r="L38" s="91">
        <v>4</v>
      </c>
      <c r="M38" s="249">
        <f t="shared" si="9"/>
        <v>51.78571428571429</v>
      </c>
      <c r="O38" s="89"/>
      <c r="P38" s="90"/>
      <c r="Q38" s="90"/>
    </row>
    <row r="39" spans="1:17" s="22" customFormat="1" ht="13.5" customHeight="1" hidden="1">
      <c r="A39" s="431"/>
      <c r="B39" s="96" t="s">
        <v>238</v>
      </c>
      <c r="C39" s="91">
        <f t="shared" si="7"/>
        <v>32</v>
      </c>
      <c r="D39" s="91">
        <f>8+13</f>
        <v>21</v>
      </c>
      <c r="E39" s="91">
        <v>5</v>
      </c>
      <c r="F39" s="91">
        <v>5</v>
      </c>
      <c r="G39" s="91">
        <v>1</v>
      </c>
      <c r="H39" s="91">
        <f t="shared" si="8"/>
        <v>44</v>
      </c>
      <c r="I39" s="91">
        <f>10+13</f>
        <v>23</v>
      </c>
      <c r="J39" s="91">
        <v>7</v>
      </c>
      <c r="K39" s="91">
        <v>13</v>
      </c>
      <c r="L39" s="91">
        <v>1</v>
      </c>
      <c r="M39" s="249">
        <f t="shared" si="9"/>
        <v>52.27272727272727</v>
      </c>
      <c r="O39" s="89"/>
      <c r="P39" s="90"/>
      <c r="Q39" s="90"/>
    </row>
    <row r="40" spans="1:17" s="22" customFormat="1" ht="13.5" customHeight="1" hidden="1">
      <c r="A40" s="431"/>
      <c r="B40" s="96" t="s">
        <v>247</v>
      </c>
      <c r="C40" s="91">
        <f t="shared" si="7"/>
        <v>13</v>
      </c>
      <c r="D40" s="91">
        <v>8</v>
      </c>
      <c r="E40" s="91">
        <v>1</v>
      </c>
      <c r="F40" s="91">
        <v>2</v>
      </c>
      <c r="G40" s="91">
        <v>2</v>
      </c>
      <c r="H40" s="91">
        <f t="shared" si="8"/>
        <v>21</v>
      </c>
      <c r="I40" s="91">
        <v>8</v>
      </c>
      <c r="J40" s="91">
        <v>2</v>
      </c>
      <c r="K40" s="91">
        <v>9</v>
      </c>
      <c r="L40" s="91">
        <v>2</v>
      </c>
      <c r="M40" s="249">
        <f t="shared" si="9"/>
        <v>38.095238095238095</v>
      </c>
      <c r="O40" s="89"/>
      <c r="P40" s="90"/>
      <c r="Q40" s="90"/>
    </row>
    <row r="41" spans="1:17" s="22" customFormat="1" ht="14.25" customHeight="1" hidden="1">
      <c r="A41" s="431"/>
      <c r="B41" s="96" t="s">
        <v>253</v>
      </c>
      <c r="C41" s="91">
        <f t="shared" si="7"/>
        <v>13</v>
      </c>
      <c r="D41" s="91">
        <v>8</v>
      </c>
      <c r="E41" s="91">
        <v>5</v>
      </c>
      <c r="F41" s="91">
        <v>0</v>
      </c>
      <c r="G41" s="91">
        <v>0</v>
      </c>
      <c r="H41" s="91">
        <f t="shared" si="8"/>
        <v>19</v>
      </c>
      <c r="I41" s="91">
        <v>11</v>
      </c>
      <c r="J41" s="91">
        <v>7</v>
      </c>
      <c r="K41" s="91">
        <v>1</v>
      </c>
      <c r="L41" s="91">
        <v>0</v>
      </c>
      <c r="M41" s="249">
        <f t="shared" si="9"/>
        <v>57.89473684210527</v>
      </c>
      <c r="O41" s="89"/>
      <c r="P41" s="90"/>
      <c r="Q41" s="90"/>
    </row>
    <row r="42" spans="1:17" s="22" customFormat="1" ht="14.25" customHeight="1" hidden="1">
      <c r="A42" s="431"/>
      <c r="B42" s="96" t="s">
        <v>263</v>
      </c>
      <c r="C42" s="91">
        <f t="shared" si="7"/>
        <v>13</v>
      </c>
      <c r="D42" s="91">
        <v>10</v>
      </c>
      <c r="E42" s="91">
        <v>2</v>
      </c>
      <c r="F42" s="91">
        <v>1</v>
      </c>
      <c r="G42" s="91">
        <v>0</v>
      </c>
      <c r="H42" s="91">
        <f t="shared" si="8"/>
        <v>28</v>
      </c>
      <c r="I42" s="91">
        <v>17</v>
      </c>
      <c r="J42" s="91">
        <v>4</v>
      </c>
      <c r="K42" s="91">
        <v>7</v>
      </c>
      <c r="L42" s="91">
        <v>0</v>
      </c>
      <c r="M42" s="249">
        <f t="shared" si="9"/>
        <v>60.71428571428571</v>
      </c>
      <c r="O42" s="89"/>
      <c r="P42" s="90"/>
      <c r="Q42" s="90"/>
    </row>
    <row r="43" spans="1:17" s="22" customFormat="1" ht="14.25" customHeight="1" hidden="1">
      <c r="A43" s="431"/>
      <c r="B43" s="96" t="s">
        <v>272</v>
      </c>
      <c r="C43" s="91">
        <f aca="true" t="shared" si="10" ref="C43:C48">SUM(D43:G43)</f>
        <v>49</v>
      </c>
      <c r="D43" s="91">
        <v>30</v>
      </c>
      <c r="E43" s="91">
        <v>16</v>
      </c>
      <c r="F43" s="91">
        <v>3</v>
      </c>
      <c r="G43" s="91">
        <v>0</v>
      </c>
      <c r="H43" s="91">
        <f t="shared" si="8"/>
        <v>81</v>
      </c>
      <c r="I43" s="91">
        <v>35</v>
      </c>
      <c r="J43" s="91">
        <v>20</v>
      </c>
      <c r="K43" s="91">
        <v>24</v>
      </c>
      <c r="L43" s="91">
        <v>2</v>
      </c>
      <c r="M43" s="249">
        <f t="shared" si="9"/>
        <v>43.20987654320987</v>
      </c>
      <c r="O43" s="89"/>
      <c r="P43" s="90"/>
      <c r="Q43" s="90"/>
    </row>
    <row r="44" spans="1:17" s="22" customFormat="1" ht="14.25" hidden="1">
      <c r="A44" s="431"/>
      <c r="B44" s="96" t="s">
        <v>276</v>
      </c>
      <c r="C44" s="91">
        <f t="shared" si="10"/>
        <v>88</v>
      </c>
      <c r="D44" s="91">
        <f>14+18</f>
        <v>32</v>
      </c>
      <c r="E44" s="91">
        <v>40</v>
      </c>
      <c r="F44" s="91">
        <v>15</v>
      </c>
      <c r="G44" s="91">
        <v>1</v>
      </c>
      <c r="H44" s="91">
        <f t="shared" si="8"/>
        <v>124</v>
      </c>
      <c r="I44" s="91">
        <f>16+22</f>
        <v>38</v>
      </c>
      <c r="J44" s="91">
        <f>23+27</f>
        <v>50</v>
      </c>
      <c r="K44" s="91">
        <v>35</v>
      </c>
      <c r="L44" s="91">
        <v>1</v>
      </c>
      <c r="M44" s="249">
        <f>+I44/H44*100</f>
        <v>30.64516129032258</v>
      </c>
      <c r="O44" s="273">
        <f>+M44-M43</f>
        <v>-12.564715252887293</v>
      </c>
      <c r="P44" s="90"/>
      <c r="Q44" s="90"/>
    </row>
    <row r="45" spans="1:17" s="22" customFormat="1" ht="14.25">
      <c r="A45" s="431"/>
      <c r="B45" s="96" t="s">
        <v>302</v>
      </c>
      <c r="C45" s="91">
        <f t="shared" si="10"/>
        <v>69</v>
      </c>
      <c r="D45" s="91">
        <v>31</v>
      </c>
      <c r="E45" s="91">
        <v>24</v>
      </c>
      <c r="F45" s="91">
        <v>11</v>
      </c>
      <c r="G45" s="91">
        <v>3</v>
      </c>
      <c r="H45" s="91">
        <f t="shared" si="8"/>
        <v>126</v>
      </c>
      <c r="I45" s="91">
        <f>12+1+11+12+4+9</f>
        <v>49</v>
      </c>
      <c r="J45" s="91">
        <f>28+15</f>
        <v>43</v>
      </c>
      <c r="K45" s="91">
        <f>18+4+7</f>
        <v>29</v>
      </c>
      <c r="L45" s="91">
        <v>5</v>
      </c>
      <c r="M45" s="249">
        <f t="shared" si="9"/>
        <v>38.88888888888889</v>
      </c>
      <c r="O45" s="273">
        <f>+M45-M44</f>
        <v>8.243727598566313</v>
      </c>
      <c r="P45" s="90"/>
      <c r="Q45" s="90"/>
    </row>
    <row r="46" spans="1:17" s="22" customFormat="1" ht="14.25">
      <c r="A46" s="431"/>
      <c r="B46" s="96" t="s">
        <v>309</v>
      </c>
      <c r="C46" s="91">
        <f t="shared" si="10"/>
        <v>91</v>
      </c>
      <c r="D46" s="91">
        <v>47</v>
      </c>
      <c r="E46" s="91">
        <v>18</v>
      </c>
      <c r="F46" s="91">
        <v>20</v>
      </c>
      <c r="G46" s="91">
        <v>6</v>
      </c>
      <c r="H46" s="91">
        <f t="shared" si="8"/>
        <v>156</v>
      </c>
      <c r="I46" s="91">
        <f>43+2+21+12+10</f>
        <v>88</v>
      </c>
      <c r="J46" s="91">
        <v>22</v>
      </c>
      <c r="K46" s="91">
        <f>20+5+12</f>
        <v>37</v>
      </c>
      <c r="L46" s="91">
        <v>9</v>
      </c>
      <c r="M46" s="249">
        <f t="shared" si="9"/>
        <v>56.41025641025641</v>
      </c>
      <c r="O46" s="273">
        <f>+M46-M45</f>
        <v>17.521367521367516</v>
      </c>
      <c r="P46" s="90"/>
      <c r="Q46" s="90"/>
    </row>
    <row r="47" spans="1:17" s="22" customFormat="1" ht="14.25">
      <c r="A47" s="431"/>
      <c r="B47" s="96" t="s">
        <v>319</v>
      </c>
      <c r="C47" s="91">
        <f t="shared" si="10"/>
        <v>74</v>
      </c>
      <c r="D47" s="91">
        <v>37</v>
      </c>
      <c r="E47" s="91">
        <v>27</v>
      </c>
      <c r="F47" s="91">
        <v>10</v>
      </c>
      <c r="G47" s="91">
        <v>0</v>
      </c>
      <c r="H47" s="91">
        <f t="shared" si="8"/>
        <v>109</v>
      </c>
      <c r="I47" s="91">
        <v>50</v>
      </c>
      <c r="J47" s="91">
        <v>42</v>
      </c>
      <c r="K47" s="91">
        <v>17</v>
      </c>
      <c r="L47" s="91">
        <v>0</v>
      </c>
      <c r="M47" s="249">
        <f t="shared" si="9"/>
        <v>45.87155963302752</v>
      </c>
      <c r="O47" s="273">
        <f>+M47-M46</f>
        <v>-10.538696777228886</v>
      </c>
      <c r="P47" s="90"/>
      <c r="Q47" s="90"/>
    </row>
    <row r="48" spans="1:17" s="22" customFormat="1" ht="14.25">
      <c r="A48" s="431"/>
      <c r="B48" s="96" t="s">
        <v>325</v>
      </c>
      <c r="C48" s="91">
        <f t="shared" si="10"/>
        <v>76</v>
      </c>
      <c r="D48" s="91">
        <f>31+11</f>
        <v>42</v>
      </c>
      <c r="E48" s="91">
        <v>20</v>
      </c>
      <c r="F48" s="91">
        <v>12</v>
      </c>
      <c r="G48" s="91">
        <v>2</v>
      </c>
      <c r="H48" s="91">
        <f t="shared" si="8"/>
        <v>128</v>
      </c>
      <c r="I48" s="91">
        <f>29+6+19+9+0+5</f>
        <v>68</v>
      </c>
      <c r="J48" s="91">
        <f>11+7+14</f>
        <v>32</v>
      </c>
      <c r="K48" s="91">
        <f>17+4+5</f>
        <v>26</v>
      </c>
      <c r="L48" s="91">
        <f>1+0+1</f>
        <v>2</v>
      </c>
      <c r="M48" s="249">
        <f t="shared" si="9"/>
        <v>53.125</v>
      </c>
      <c r="O48" s="273">
        <f>+M48-M47</f>
        <v>7.253440366972477</v>
      </c>
      <c r="P48" s="90"/>
      <c r="Q48" s="90"/>
    </row>
    <row r="49" spans="1:17" s="22" customFormat="1" ht="14.25">
      <c r="A49" s="431"/>
      <c r="B49" s="96" t="s">
        <v>358</v>
      </c>
      <c r="C49" s="334">
        <f>SUM(D49:G49)</f>
        <v>51</v>
      </c>
      <c r="D49" s="334">
        <v>29</v>
      </c>
      <c r="E49" s="334">
        <v>11</v>
      </c>
      <c r="F49" s="334">
        <v>9</v>
      </c>
      <c r="G49" s="334">
        <v>2</v>
      </c>
      <c r="H49" s="334">
        <v>82</v>
      </c>
      <c r="I49" s="334">
        <v>42</v>
      </c>
      <c r="J49" s="334">
        <v>17</v>
      </c>
      <c r="K49" s="334">
        <v>19</v>
      </c>
      <c r="L49" s="334">
        <v>4</v>
      </c>
      <c r="M49" s="335">
        <f>I49/H49*100</f>
        <v>51.21951219512195</v>
      </c>
      <c r="O49" s="273"/>
      <c r="P49" s="90"/>
      <c r="Q49" s="90"/>
    </row>
    <row r="50" spans="1:17" s="22" customFormat="1" ht="13.5" customHeight="1">
      <c r="A50" s="431"/>
      <c r="B50" s="100" t="s">
        <v>137</v>
      </c>
      <c r="C50" s="91"/>
      <c r="D50" s="93"/>
      <c r="E50" s="93"/>
      <c r="F50" s="93"/>
      <c r="G50" s="93"/>
      <c r="H50" s="93"/>
      <c r="I50" s="93"/>
      <c r="J50" s="93"/>
      <c r="K50" s="93"/>
      <c r="L50" s="93"/>
      <c r="M50" s="249"/>
      <c r="O50" s="89"/>
      <c r="P50" s="90"/>
      <c r="Q50" s="90"/>
    </row>
    <row r="51" spans="1:17" s="22" customFormat="1" ht="13.5" customHeight="1" hidden="1">
      <c r="A51" s="431"/>
      <c r="B51" s="96" t="s">
        <v>183</v>
      </c>
      <c r="C51" s="91">
        <v>1017</v>
      </c>
      <c r="D51" s="93">
        <v>748</v>
      </c>
      <c r="E51" s="93" t="s">
        <v>126</v>
      </c>
      <c r="F51" s="93">
        <v>182</v>
      </c>
      <c r="G51" s="93">
        <v>87</v>
      </c>
      <c r="H51" s="93">
        <v>2139</v>
      </c>
      <c r="I51" s="93">
        <v>1437</v>
      </c>
      <c r="J51" s="93" t="s">
        <v>126</v>
      </c>
      <c r="K51" s="93">
        <v>539</v>
      </c>
      <c r="L51" s="93">
        <v>163</v>
      </c>
      <c r="M51" s="249">
        <v>67.1809256661992</v>
      </c>
      <c r="O51" s="89"/>
      <c r="P51" s="90"/>
      <c r="Q51" s="90"/>
    </row>
    <row r="52" spans="1:17" s="22" customFormat="1" ht="13.5" customHeight="1" hidden="1">
      <c r="A52" s="431"/>
      <c r="B52" s="96" t="s">
        <v>182</v>
      </c>
      <c r="C52" s="91">
        <v>980</v>
      </c>
      <c r="D52" s="91">
        <v>627</v>
      </c>
      <c r="E52" s="91">
        <v>22</v>
      </c>
      <c r="F52" s="91">
        <v>252</v>
      </c>
      <c r="G52" s="91">
        <v>79</v>
      </c>
      <c r="H52" s="91">
        <v>2096</v>
      </c>
      <c r="I52" s="91">
        <v>1167</v>
      </c>
      <c r="J52" s="91">
        <v>61</v>
      </c>
      <c r="K52" s="91">
        <v>678</v>
      </c>
      <c r="L52" s="91">
        <v>190</v>
      </c>
      <c r="M52" s="249">
        <v>55.6774809160305</v>
      </c>
      <c r="O52" s="89"/>
      <c r="P52" s="90"/>
      <c r="Q52" s="90"/>
    </row>
    <row r="53" spans="1:17" s="22" customFormat="1" ht="13.5" customHeight="1" hidden="1">
      <c r="A53" s="431"/>
      <c r="B53" s="96" t="s">
        <v>184</v>
      </c>
      <c r="C53" s="91">
        <v>671</v>
      </c>
      <c r="D53" s="91">
        <v>356</v>
      </c>
      <c r="E53" s="91">
        <v>52</v>
      </c>
      <c r="F53" s="91">
        <v>192</v>
      </c>
      <c r="G53" s="91">
        <v>71</v>
      </c>
      <c r="H53" s="91">
        <v>1432</v>
      </c>
      <c r="I53" s="91">
        <v>673</v>
      </c>
      <c r="J53" s="91">
        <v>93</v>
      </c>
      <c r="K53" s="91">
        <v>542</v>
      </c>
      <c r="L53" s="91">
        <v>124</v>
      </c>
      <c r="M53" s="249">
        <v>46.9972067039106</v>
      </c>
      <c r="O53" s="89"/>
      <c r="P53" s="90"/>
      <c r="Q53" s="90"/>
    </row>
    <row r="54" spans="1:17" s="22" customFormat="1" ht="13.5" customHeight="1" hidden="1">
      <c r="A54" s="431"/>
      <c r="B54" s="96" t="s">
        <v>185</v>
      </c>
      <c r="C54" s="91">
        <v>514</v>
      </c>
      <c r="D54" s="91">
        <v>228</v>
      </c>
      <c r="E54" s="91">
        <v>82</v>
      </c>
      <c r="F54" s="91">
        <v>136</v>
      </c>
      <c r="G54" s="91">
        <v>68</v>
      </c>
      <c r="H54" s="91">
        <v>1143</v>
      </c>
      <c r="I54" s="91">
        <v>474</v>
      </c>
      <c r="J54" s="91">
        <v>161</v>
      </c>
      <c r="K54" s="91">
        <v>394</v>
      </c>
      <c r="L54" s="91">
        <v>114</v>
      </c>
      <c r="M54" s="249">
        <v>41.4698162729659</v>
      </c>
      <c r="O54" s="89"/>
      <c r="P54" s="90"/>
      <c r="Q54" s="90"/>
    </row>
    <row r="55" spans="1:17" s="22" customFormat="1" ht="13.5" customHeight="1" hidden="1">
      <c r="A55" s="431"/>
      <c r="B55" s="96" t="s">
        <v>186</v>
      </c>
      <c r="C55" s="91">
        <f aca="true" t="shared" si="11" ref="C55:C69">SUM(D55:G55)</f>
        <v>439</v>
      </c>
      <c r="D55" s="91">
        <v>210</v>
      </c>
      <c r="E55" s="91">
        <v>67</v>
      </c>
      <c r="F55" s="91">
        <v>119</v>
      </c>
      <c r="G55" s="91">
        <v>43</v>
      </c>
      <c r="H55" s="91">
        <f aca="true" t="shared" si="12" ref="H55:H69">SUM(I55:L55)</f>
        <v>929</v>
      </c>
      <c r="I55" s="91">
        <f>366+30</f>
        <v>396</v>
      </c>
      <c r="J55" s="91">
        <f>137+6</f>
        <v>143</v>
      </c>
      <c r="K55" s="91">
        <f>298+6</f>
        <v>304</v>
      </c>
      <c r="L55" s="91">
        <v>86</v>
      </c>
      <c r="M55" s="249">
        <f aca="true" t="shared" si="13" ref="M55:M69">+I55/H55*100</f>
        <v>42.6264800861141</v>
      </c>
      <c r="O55" s="89"/>
      <c r="P55" s="90"/>
      <c r="Q55" s="90"/>
    </row>
    <row r="56" spans="1:17" s="22" customFormat="1" ht="13.5" customHeight="1" hidden="1">
      <c r="A56" s="431"/>
      <c r="B56" s="96" t="s">
        <v>190</v>
      </c>
      <c r="C56" s="91">
        <f t="shared" si="11"/>
        <v>566</v>
      </c>
      <c r="D56" s="91">
        <f>291+45</f>
        <v>336</v>
      </c>
      <c r="E56" s="91">
        <v>68</v>
      </c>
      <c r="F56" s="91">
        <v>125</v>
      </c>
      <c r="G56" s="91">
        <v>37</v>
      </c>
      <c r="H56" s="91">
        <f t="shared" si="12"/>
        <v>1261</v>
      </c>
      <c r="I56" s="91">
        <f>516+52+23+51+3+8</f>
        <v>653</v>
      </c>
      <c r="J56" s="91">
        <f>131+13+1</f>
        <v>145</v>
      </c>
      <c r="K56" s="91">
        <f>351+49+5</f>
        <v>405</v>
      </c>
      <c r="L56" s="91">
        <f>50+2+6</f>
        <v>58</v>
      </c>
      <c r="M56" s="249">
        <f t="shared" si="13"/>
        <v>51.78429817605076</v>
      </c>
      <c r="O56" s="89"/>
      <c r="P56" s="90"/>
      <c r="Q56" s="90"/>
    </row>
    <row r="57" spans="1:17" s="22" customFormat="1" ht="13.5" customHeight="1" hidden="1">
      <c r="A57" s="431"/>
      <c r="B57" s="96" t="s">
        <v>201</v>
      </c>
      <c r="C57" s="91">
        <f t="shared" si="11"/>
        <v>653</v>
      </c>
      <c r="D57" s="91">
        <f>327+39</f>
        <v>366</v>
      </c>
      <c r="E57" s="91">
        <v>76</v>
      </c>
      <c r="F57" s="91">
        <v>160</v>
      </c>
      <c r="G57" s="91">
        <v>51</v>
      </c>
      <c r="H57" s="91">
        <f t="shared" si="12"/>
        <v>1443</v>
      </c>
      <c r="I57" s="91">
        <f>571+42+27+61+1+5</f>
        <v>707</v>
      </c>
      <c r="J57" s="91">
        <f>137+7+6</f>
        <v>150</v>
      </c>
      <c r="K57" s="91">
        <f>454+44+6</f>
        <v>504</v>
      </c>
      <c r="L57" s="91">
        <f>75+2+5</f>
        <v>82</v>
      </c>
      <c r="M57" s="249">
        <f t="shared" si="13"/>
        <v>48.995148995148995</v>
      </c>
      <c r="O57" s="89"/>
      <c r="P57" s="90"/>
      <c r="Q57" s="90"/>
    </row>
    <row r="58" spans="1:17" s="22" customFormat="1" ht="13.5" customHeight="1" hidden="1">
      <c r="A58" s="431"/>
      <c r="B58" s="96" t="s">
        <v>206</v>
      </c>
      <c r="C58" s="91">
        <f t="shared" si="11"/>
        <v>584</v>
      </c>
      <c r="D58" s="91">
        <v>334</v>
      </c>
      <c r="E58" s="91">
        <v>65</v>
      </c>
      <c r="F58" s="91">
        <v>150</v>
      </c>
      <c r="G58" s="91">
        <v>35</v>
      </c>
      <c r="H58" s="91">
        <f t="shared" si="12"/>
        <v>1300</v>
      </c>
      <c r="I58" s="91">
        <v>627</v>
      </c>
      <c r="J58" s="91">
        <v>143</v>
      </c>
      <c r="K58" s="91">
        <v>474</v>
      </c>
      <c r="L58" s="91">
        <v>56</v>
      </c>
      <c r="M58" s="249">
        <f t="shared" si="13"/>
        <v>48.23076923076923</v>
      </c>
      <c r="O58" s="89"/>
      <c r="P58" s="90"/>
      <c r="Q58" s="90"/>
    </row>
    <row r="59" spans="1:17" s="22" customFormat="1" ht="13.5" customHeight="1" hidden="1">
      <c r="A59" s="431"/>
      <c r="B59" s="96" t="s">
        <v>234</v>
      </c>
      <c r="C59" s="91">
        <f t="shared" si="11"/>
        <v>433</v>
      </c>
      <c r="D59" s="91">
        <f>192+14</f>
        <v>206</v>
      </c>
      <c r="E59" s="91">
        <v>74</v>
      </c>
      <c r="F59" s="91">
        <v>132</v>
      </c>
      <c r="G59" s="91">
        <v>21</v>
      </c>
      <c r="H59" s="91">
        <f t="shared" si="12"/>
        <v>964</v>
      </c>
      <c r="I59" s="91">
        <f>354+27+10+15+2</f>
        <v>408</v>
      </c>
      <c r="J59" s="91">
        <f>100+7+4</f>
        <v>111</v>
      </c>
      <c r="K59" s="91">
        <f>370+26+8</f>
        <v>404</v>
      </c>
      <c r="L59" s="91">
        <f>35+5+1</f>
        <v>41</v>
      </c>
      <c r="M59" s="249">
        <f t="shared" si="13"/>
        <v>42.32365145228216</v>
      </c>
      <c r="O59" s="89"/>
      <c r="P59" s="90"/>
      <c r="Q59" s="90"/>
    </row>
    <row r="60" spans="1:17" s="22" customFormat="1" ht="13.5" customHeight="1" hidden="1">
      <c r="A60" s="431"/>
      <c r="B60" s="96" t="s">
        <v>238</v>
      </c>
      <c r="C60" s="91">
        <f t="shared" si="11"/>
        <v>384</v>
      </c>
      <c r="D60" s="91">
        <f>165+15</f>
        <v>180</v>
      </c>
      <c r="E60" s="91">
        <v>57</v>
      </c>
      <c r="F60" s="91">
        <v>122</v>
      </c>
      <c r="G60" s="91">
        <v>25</v>
      </c>
      <c r="H60" s="91">
        <f t="shared" si="12"/>
        <v>864</v>
      </c>
      <c r="I60" s="91">
        <f>267+21+17+14+5</f>
        <v>324</v>
      </c>
      <c r="J60" s="91">
        <f>83+13+1</f>
        <v>97</v>
      </c>
      <c r="K60" s="91">
        <f>351+22+15</f>
        <v>388</v>
      </c>
      <c r="L60" s="91">
        <f>46+8+1</f>
        <v>55</v>
      </c>
      <c r="M60" s="249">
        <f t="shared" si="13"/>
        <v>37.5</v>
      </c>
      <c r="O60" s="89"/>
      <c r="P60" s="90"/>
      <c r="Q60" s="90"/>
    </row>
    <row r="61" spans="1:17" s="22" customFormat="1" ht="13.5" customHeight="1" hidden="1">
      <c r="A61" s="431"/>
      <c r="B61" s="96" t="s">
        <v>247</v>
      </c>
      <c r="C61" s="91">
        <f t="shared" si="11"/>
        <v>512</v>
      </c>
      <c r="D61" s="91">
        <v>276</v>
      </c>
      <c r="E61" s="91">
        <v>71</v>
      </c>
      <c r="F61" s="91">
        <v>144</v>
      </c>
      <c r="G61" s="91">
        <v>21</v>
      </c>
      <c r="H61" s="91">
        <f t="shared" si="12"/>
        <v>1113</v>
      </c>
      <c r="I61" s="91">
        <f>424+36+30+8</f>
        <v>498</v>
      </c>
      <c r="J61" s="91">
        <f>101+12+7</f>
        <v>120</v>
      </c>
      <c r="K61" s="91">
        <f>394+48+12</f>
        <v>454</v>
      </c>
      <c r="L61" s="91">
        <f>36+2+3</f>
        <v>41</v>
      </c>
      <c r="M61" s="249">
        <f t="shared" si="13"/>
        <v>44.74393530997305</v>
      </c>
      <c r="O61" s="89"/>
      <c r="P61" s="90"/>
      <c r="Q61" s="90"/>
    </row>
    <row r="62" spans="1:17" s="22" customFormat="1" ht="14.25" customHeight="1" hidden="1">
      <c r="A62" s="431"/>
      <c r="B62" s="96" t="s">
        <v>253</v>
      </c>
      <c r="C62" s="91">
        <f t="shared" si="11"/>
        <v>530</v>
      </c>
      <c r="D62" s="91">
        <f>231+20</f>
        <v>251</v>
      </c>
      <c r="E62" s="91">
        <v>96</v>
      </c>
      <c r="F62" s="91">
        <v>159</v>
      </c>
      <c r="G62" s="91">
        <v>24</v>
      </c>
      <c r="H62" s="91">
        <f t="shared" si="12"/>
        <v>1155</v>
      </c>
      <c r="I62" s="91">
        <f>376+21+24+26</f>
        <v>447</v>
      </c>
      <c r="J62" s="91">
        <f>126+21+16</f>
        <v>163</v>
      </c>
      <c r="K62" s="91">
        <f>430+58+12</f>
        <v>500</v>
      </c>
      <c r="L62" s="91">
        <f>36+9</f>
        <v>45</v>
      </c>
      <c r="M62" s="249">
        <f t="shared" si="13"/>
        <v>38.701298701298704</v>
      </c>
      <c r="O62" s="89"/>
      <c r="P62" s="90"/>
      <c r="Q62" s="90"/>
    </row>
    <row r="63" spans="1:17" s="22" customFormat="1" ht="14.25" customHeight="1" hidden="1">
      <c r="A63" s="431"/>
      <c r="B63" s="96" t="s">
        <v>263</v>
      </c>
      <c r="C63" s="91">
        <f t="shared" si="11"/>
        <v>550</v>
      </c>
      <c r="D63" s="91">
        <v>296</v>
      </c>
      <c r="E63" s="91">
        <v>77</v>
      </c>
      <c r="F63" s="91">
        <v>136</v>
      </c>
      <c r="G63" s="91">
        <v>41</v>
      </c>
      <c r="H63" s="91">
        <f t="shared" si="12"/>
        <v>1893</v>
      </c>
      <c r="I63" s="91">
        <f>1012+93+51+12</f>
        <v>1168</v>
      </c>
      <c r="J63" s="91">
        <f>162+12+15</f>
        <v>189</v>
      </c>
      <c r="K63" s="91">
        <f>351+40+11</f>
        <v>402</v>
      </c>
      <c r="L63" s="91">
        <f>113+10+11</f>
        <v>134</v>
      </c>
      <c r="M63" s="249">
        <f t="shared" si="13"/>
        <v>61.701003697834125</v>
      </c>
      <c r="O63" s="89"/>
      <c r="P63" s="90"/>
      <c r="Q63" s="90"/>
    </row>
    <row r="64" spans="1:17" s="22" customFormat="1" ht="14.25" customHeight="1" hidden="1">
      <c r="A64" s="431"/>
      <c r="B64" s="96" t="s">
        <v>272</v>
      </c>
      <c r="C64" s="91">
        <f t="shared" si="11"/>
        <v>422</v>
      </c>
      <c r="D64" s="91">
        <v>197</v>
      </c>
      <c r="E64" s="91">
        <v>90</v>
      </c>
      <c r="F64" s="91">
        <v>119</v>
      </c>
      <c r="G64" s="91">
        <v>16</v>
      </c>
      <c r="H64" s="91">
        <f t="shared" si="12"/>
        <v>1230</v>
      </c>
      <c r="I64" s="91">
        <v>429</v>
      </c>
      <c r="J64" s="91">
        <v>213</v>
      </c>
      <c r="K64" s="91">
        <v>495</v>
      </c>
      <c r="L64" s="91">
        <v>93</v>
      </c>
      <c r="M64" s="249">
        <f t="shared" si="13"/>
        <v>34.8780487804878</v>
      </c>
      <c r="O64" s="89"/>
      <c r="P64" s="90"/>
      <c r="Q64" s="90"/>
    </row>
    <row r="65" spans="1:17" s="22" customFormat="1" ht="14.25" hidden="1">
      <c r="A65" s="431"/>
      <c r="B65" s="96" t="s">
        <v>276</v>
      </c>
      <c r="C65" s="91">
        <f t="shared" si="11"/>
        <v>590</v>
      </c>
      <c r="D65" s="91">
        <f>273+12</f>
        <v>285</v>
      </c>
      <c r="E65" s="91">
        <v>110</v>
      </c>
      <c r="F65" s="91">
        <v>149</v>
      </c>
      <c r="G65" s="91">
        <v>46</v>
      </c>
      <c r="H65" s="91">
        <f t="shared" si="12"/>
        <v>1560</v>
      </c>
      <c r="I65" s="91">
        <f>501+29+36+14+6</f>
        <v>586</v>
      </c>
      <c r="J65" s="91">
        <f>179+20+27</f>
        <v>226</v>
      </c>
      <c r="K65" s="91">
        <f>491+66+41</f>
        <v>598</v>
      </c>
      <c r="L65" s="91">
        <f>128+15+7</f>
        <v>150</v>
      </c>
      <c r="M65" s="249">
        <f t="shared" si="13"/>
        <v>37.56410256410256</v>
      </c>
      <c r="O65" s="273">
        <f>+M65-M64</f>
        <v>2.68605378361476</v>
      </c>
      <c r="P65" s="90"/>
      <c r="Q65" s="90"/>
    </row>
    <row r="66" spans="1:17" s="22" customFormat="1" ht="14.25">
      <c r="A66" s="431"/>
      <c r="B66" s="96" t="s">
        <v>302</v>
      </c>
      <c r="C66" s="91">
        <f t="shared" si="11"/>
        <v>562</v>
      </c>
      <c r="D66" s="91">
        <f>293+7</f>
        <v>300</v>
      </c>
      <c r="E66" s="91">
        <v>95</v>
      </c>
      <c r="F66" s="91">
        <v>126</v>
      </c>
      <c r="G66" s="91">
        <v>41</v>
      </c>
      <c r="H66" s="91">
        <f t="shared" si="12"/>
        <v>1537</v>
      </c>
      <c r="I66" s="91">
        <f>523+47+70+8</f>
        <v>648</v>
      </c>
      <c r="J66" s="91">
        <f>183+23+24</f>
        <v>230</v>
      </c>
      <c r="K66" s="91">
        <f>379+78+53</f>
        <v>510</v>
      </c>
      <c r="L66" s="91">
        <f>116+23+10</f>
        <v>149</v>
      </c>
      <c r="M66" s="249">
        <f t="shared" si="13"/>
        <v>42.160052049446975</v>
      </c>
      <c r="O66" s="273">
        <f>+M66-M65</f>
        <v>4.595949485344413</v>
      </c>
      <c r="P66" s="90"/>
      <c r="Q66" s="90"/>
    </row>
    <row r="67" spans="1:17" s="22" customFormat="1" ht="14.25">
      <c r="A67" s="431"/>
      <c r="B67" s="96" t="s">
        <v>309</v>
      </c>
      <c r="C67" s="91">
        <f t="shared" si="11"/>
        <v>755</v>
      </c>
      <c r="D67" s="91">
        <v>411</v>
      </c>
      <c r="E67" s="91">
        <v>101</v>
      </c>
      <c r="F67" s="91">
        <v>192</v>
      </c>
      <c r="G67" s="91">
        <v>51</v>
      </c>
      <c r="H67" s="91">
        <f t="shared" si="12"/>
        <v>1841</v>
      </c>
      <c r="I67" s="91">
        <f>715+57+85+9+1</f>
        <v>867</v>
      </c>
      <c r="J67" s="91">
        <f>186+14+25</f>
        <v>225</v>
      </c>
      <c r="K67" s="91">
        <f>78+56+474</f>
        <v>608</v>
      </c>
      <c r="L67" s="91">
        <f>115+6+20</f>
        <v>141</v>
      </c>
      <c r="M67" s="249">
        <f t="shared" si="13"/>
        <v>47.093970668115155</v>
      </c>
      <c r="O67" s="273">
        <f>+M67-M66</f>
        <v>4.93391861866818</v>
      </c>
      <c r="P67" s="90"/>
      <c r="Q67" s="90"/>
    </row>
    <row r="68" spans="1:17" s="22" customFormat="1" ht="14.25">
      <c r="A68" s="431"/>
      <c r="B68" s="96" t="s">
        <v>319</v>
      </c>
      <c r="C68" s="91">
        <f t="shared" si="11"/>
        <v>724</v>
      </c>
      <c r="D68" s="91">
        <v>372</v>
      </c>
      <c r="E68" s="91">
        <v>137</v>
      </c>
      <c r="F68" s="91">
        <v>165</v>
      </c>
      <c r="G68" s="91">
        <v>50</v>
      </c>
      <c r="H68" s="91">
        <f t="shared" si="12"/>
        <v>1757</v>
      </c>
      <c r="I68" s="91">
        <v>850</v>
      </c>
      <c r="J68" s="91">
        <v>253</v>
      </c>
      <c r="K68" s="91">
        <v>501</v>
      </c>
      <c r="L68" s="91">
        <v>153</v>
      </c>
      <c r="M68" s="249">
        <f t="shared" si="13"/>
        <v>48.377916903813315</v>
      </c>
      <c r="O68" s="273">
        <f>+M68-M67</f>
        <v>1.28394623569816</v>
      </c>
      <c r="P68" s="90"/>
      <c r="Q68" s="90"/>
    </row>
    <row r="69" spans="1:17" s="22" customFormat="1" ht="14.25">
      <c r="A69" s="431"/>
      <c r="B69" s="96" t="s">
        <v>325</v>
      </c>
      <c r="C69" s="91">
        <f t="shared" si="11"/>
        <v>852</v>
      </c>
      <c r="D69" s="91">
        <f>416+12</f>
        <v>428</v>
      </c>
      <c r="E69" s="91">
        <v>162</v>
      </c>
      <c r="F69" s="91">
        <v>207</v>
      </c>
      <c r="G69" s="91">
        <v>55</v>
      </c>
      <c r="H69" s="91">
        <f t="shared" si="12"/>
        <v>1876</v>
      </c>
      <c r="I69" s="91">
        <v>858</v>
      </c>
      <c r="J69" s="91">
        <v>336</v>
      </c>
      <c r="K69" s="91">
        <v>553</v>
      </c>
      <c r="L69" s="91">
        <v>129</v>
      </c>
      <c r="M69" s="249">
        <f t="shared" si="13"/>
        <v>45.73560767590618</v>
      </c>
      <c r="O69" s="273">
        <f>+M69-M68</f>
        <v>-2.642309227907134</v>
      </c>
      <c r="P69" s="90"/>
      <c r="Q69" s="90"/>
    </row>
    <row r="70" spans="1:17" s="22" customFormat="1" ht="14.25">
      <c r="A70" s="431"/>
      <c r="B70" s="96" t="s">
        <v>358</v>
      </c>
      <c r="C70" s="334">
        <f>SUM(D70:G70)</f>
        <v>1032</v>
      </c>
      <c r="D70" s="334">
        <v>533</v>
      </c>
      <c r="E70" s="334">
        <v>183</v>
      </c>
      <c r="F70" s="334">
        <v>249</v>
      </c>
      <c r="G70" s="334">
        <v>67</v>
      </c>
      <c r="H70" s="334">
        <v>2398</v>
      </c>
      <c r="I70" s="334">
        <v>1024</v>
      </c>
      <c r="J70" s="334">
        <v>413</v>
      </c>
      <c r="K70" s="334">
        <v>763</v>
      </c>
      <c r="L70" s="334">
        <v>198</v>
      </c>
      <c r="M70" s="335">
        <f>I70/H70*100</f>
        <v>42.7022518765638</v>
      </c>
      <c r="O70" s="273"/>
      <c r="P70" s="90"/>
      <c r="Q70" s="90"/>
    </row>
    <row r="71" spans="1:15" s="22" customFormat="1" ht="12.75" customHeight="1">
      <c r="A71" s="433"/>
      <c r="B71" s="99" t="s">
        <v>140</v>
      </c>
      <c r="C71" s="217"/>
      <c r="D71" s="91"/>
      <c r="E71" s="91"/>
      <c r="F71" s="91"/>
      <c r="G71" s="91"/>
      <c r="H71" s="91"/>
      <c r="I71" s="91"/>
      <c r="J71" s="91"/>
      <c r="K71" s="91"/>
      <c r="L71" s="91"/>
      <c r="M71" s="250"/>
      <c r="O71" s="89"/>
    </row>
    <row r="72" spans="1:17" s="22" customFormat="1" ht="12" customHeight="1" hidden="1">
      <c r="A72" s="433"/>
      <c r="B72" s="96" t="s">
        <v>183</v>
      </c>
      <c r="C72" s="93">
        <v>3</v>
      </c>
      <c r="D72" s="93">
        <v>1</v>
      </c>
      <c r="E72" s="93" t="s">
        <v>126</v>
      </c>
      <c r="F72" s="93">
        <v>2</v>
      </c>
      <c r="G72" s="93">
        <v>0</v>
      </c>
      <c r="H72" s="93">
        <v>5</v>
      </c>
      <c r="I72" s="93">
        <v>1</v>
      </c>
      <c r="J72" s="93" t="s">
        <v>126</v>
      </c>
      <c r="K72" s="93">
        <v>4</v>
      </c>
      <c r="L72" s="93">
        <v>0</v>
      </c>
      <c r="M72" s="249">
        <v>20</v>
      </c>
      <c r="O72" s="89"/>
      <c r="P72" s="103"/>
      <c r="Q72" s="103"/>
    </row>
    <row r="73" spans="1:17" s="22" customFormat="1" ht="12" customHeight="1" hidden="1">
      <c r="A73" s="433"/>
      <c r="B73" s="96" t="s">
        <v>182</v>
      </c>
      <c r="C73" s="91">
        <v>0</v>
      </c>
      <c r="D73" s="91">
        <v>0</v>
      </c>
      <c r="E73" s="91">
        <v>0</v>
      </c>
      <c r="F73" s="91">
        <v>0</v>
      </c>
      <c r="G73" s="91">
        <v>0</v>
      </c>
      <c r="H73" s="91">
        <v>0</v>
      </c>
      <c r="I73" s="91">
        <v>0</v>
      </c>
      <c r="J73" s="91">
        <v>0</v>
      </c>
      <c r="K73" s="91">
        <v>0</v>
      </c>
      <c r="L73" s="91">
        <v>0</v>
      </c>
      <c r="M73" s="249">
        <v>0</v>
      </c>
      <c r="O73" s="89"/>
      <c r="P73" s="103"/>
      <c r="Q73" s="103"/>
    </row>
    <row r="74" spans="1:17" s="22" customFormat="1" ht="12" customHeight="1" hidden="1">
      <c r="A74" s="433"/>
      <c r="B74" s="96" t="s">
        <v>184</v>
      </c>
      <c r="C74" s="91">
        <v>0</v>
      </c>
      <c r="D74" s="91">
        <v>0</v>
      </c>
      <c r="E74" s="91">
        <v>0</v>
      </c>
      <c r="F74" s="91">
        <v>0</v>
      </c>
      <c r="G74" s="91">
        <v>0</v>
      </c>
      <c r="H74" s="91">
        <v>0</v>
      </c>
      <c r="I74" s="91">
        <v>0</v>
      </c>
      <c r="J74" s="91">
        <v>0</v>
      </c>
      <c r="K74" s="91">
        <v>0</v>
      </c>
      <c r="L74" s="91">
        <v>0</v>
      </c>
      <c r="M74" s="249">
        <v>0</v>
      </c>
      <c r="O74" s="89"/>
      <c r="P74" s="103"/>
      <c r="Q74" s="103"/>
    </row>
    <row r="75" spans="1:17" s="22" customFormat="1" ht="12" customHeight="1" hidden="1">
      <c r="A75" s="433"/>
      <c r="B75" s="96" t="s">
        <v>185</v>
      </c>
      <c r="C75" s="91">
        <v>1</v>
      </c>
      <c r="D75" s="91">
        <v>1</v>
      </c>
      <c r="E75" s="91">
        <v>0</v>
      </c>
      <c r="F75" s="91">
        <v>0</v>
      </c>
      <c r="G75" s="91">
        <v>0</v>
      </c>
      <c r="H75" s="91">
        <v>1</v>
      </c>
      <c r="I75" s="91">
        <v>1</v>
      </c>
      <c r="J75" s="91">
        <v>0</v>
      </c>
      <c r="K75" s="91">
        <v>0</v>
      </c>
      <c r="L75" s="91">
        <v>0</v>
      </c>
      <c r="M75" s="249">
        <v>100</v>
      </c>
      <c r="O75" s="89"/>
      <c r="P75" s="103"/>
      <c r="Q75" s="103"/>
    </row>
    <row r="76" spans="1:17" s="22" customFormat="1" ht="12" customHeight="1" hidden="1">
      <c r="A76" s="433"/>
      <c r="B76" s="96" t="s">
        <v>186</v>
      </c>
      <c r="C76" s="91">
        <f>SUM(D76:G76)</f>
        <v>0</v>
      </c>
      <c r="D76" s="91">
        <v>0</v>
      </c>
      <c r="E76" s="91">
        <v>0</v>
      </c>
      <c r="F76" s="91">
        <v>0</v>
      </c>
      <c r="G76" s="91">
        <v>0</v>
      </c>
      <c r="H76" s="91">
        <f>SUM(I76:L76)</f>
        <v>0</v>
      </c>
      <c r="I76" s="91">
        <v>0</v>
      </c>
      <c r="J76" s="91">
        <v>0</v>
      </c>
      <c r="K76" s="91">
        <v>0</v>
      </c>
      <c r="L76" s="91">
        <v>0</v>
      </c>
      <c r="M76" s="94">
        <v>0</v>
      </c>
      <c r="O76" s="89"/>
      <c r="P76" s="103"/>
      <c r="Q76" s="103"/>
    </row>
    <row r="77" spans="1:17" s="22" customFormat="1" ht="12" customHeight="1" hidden="1">
      <c r="A77" s="433"/>
      <c r="B77" s="96" t="s">
        <v>190</v>
      </c>
      <c r="C77" s="91">
        <v>0</v>
      </c>
      <c r="D77" s="91">
        <v>0</v>
      </c>
      <c r="E77" s="91">
        <v>0</v>
      </c>
      <c r="F77" s="91">
        <v>0</v>
      </c>
      <c r="G77" s="91">
        <v>0</v>
      </c>
      <c r="H77" s="91">
        <v>0</v>
      </c>
      <c r="I77" s="91">
        <v>0</v>
      </c>
      <c r="J77" s="91">
        <v>0</v>
      </c>
      <c r="K77" s="91">
        <v>0</v>
      </c>
      <c r="L77" s="91">
        <v>0</v>
      </c>
      <c r="M77" s="94">
        <v>0</v>
      </c>
      <c r="O77" s="89"/>
      <c r="P77" s="103"/>
      <c r="Q77" s="103"/>
    </row>
    <row r="78" spans="1:17" s="22" customFormat="1" ht="12" customHeight="1" hidden="1">
      <c r="A78" s="433"/>
      <c r="B78" s="96" t="s">
        <v>201</v>
      </c>
      <c r="C78" s="91">
        <v>0</v>
      </c>
      <c r="D78" s="91">
        <v>0</v>
      </c>
      <c r="E78" s="91">
        <v>0</v>
      </c>
      <c r="F78" s="91">
        <v>0</v>
      </c>
      <c r="G78" s="91">
        <v>0</v>
      </c>
      <c r="H78" s="91">
        <v>0</v>
      </c>
      <c r="I78" s="91">
        <v>0</v>
      </c>
      <c r="J78" s="91">
        <v>0</v>
      </c>
      <c r="K78" s="91">
        <v>0</v>
      </c>
      <c r="L78" s="91">
        <v>0</v>
      </c>
      <c r="M78" s="94">
        <v>0</v>
      </c>
      <c r="O78" s="89"/>
      <c r="P78" s="103"/>
      <c r="Q78" s="103"/>
    </row>
    <row r="79" spans="1:17" s="22" customFormat="1" ht="12" customHeight="1" hidden="1">
      <c r="A79" s="433"/>
      <c r="B79" s="96" t="s">
        <v>206</v>
      </c>
      <c r="C79" s="91">
        <v>0</v>
      </c>
      <c r="D79" s="91">
        <v>0</v>
      </c>
      <c r="E79" s="91">
        <v>0</v>
      </c>
      <c r="F79" s="91">
        <v>0</v>
      </c>
      <c r="G79" s="91">
        <v>0</v>
      </c>
      <c r="H79" s="91">
        <v>0</v>
      </c>
      <c r="I79" s="91">
        <v>0</v>
      </c>
      <c r="J79" s="91">
        <v>0</v>
      </c>
      <c r="K79" s="91">
        <v>0</v>
      </c>
      <c r="L79" s="91">
        <v>0</v>
      </c>
      <c r="M79" s="94">
        <v>0</v>
      </c>
      <c r="O79" s="89"/>
      <c r="P79" s="103"/>
      <c r="Q79" s="103"/>
    </row>
    <row r="80" spans="1:17" s="22" customFormat="1" ht="12" customHeight="1" hidden="1">
      <c r="A80" s="433"/>
      <c r="B80" s="96" t="s">
        <v>234</v>
      </c>
      <c r="C80" s="91">
        <v>0</v>
      </c>
      <c r="D80" s="91">
        <v>0</v>
      </c>
      <c r="E80" s="91">
        <v>0</v>
      </c>
      <c r="F80" s="91">
        <v>0</v>
      </c>
      <c r="G80" s="91">
        <v>0</v>
      </c>
      <c r="H80" s="91">
        <v>0</v>
      </c>
      <c r="I80" s="91">
        <v>0</v>
      </c>
      <c r="J80" s="91">
        <v>0</v>
      </c>
      <c r="K80" s="91">
        <v>0</v>
      </c>
      <c r="L80" s="91">
        <v>0</v>
      </c>
      <c r="M80" s="94">
        <v>0</v>
      </c>
      <c r="O80" s="89"/>
      <c r="P80" s="103"/>
      <c r="Q80" s="103"/>
    </row>
    <row r="81" spans="1:17" s="22" customFormat="1" ht="12" customHeight="1" hidden="1">
      <c r="A81" s="433"/>
      <c r="B81" s="96" t="s">
        <v>238</v>
      </c>
      <c r="C81" s="91">
        <f aca="true" t="shared" si="14" ref="C81:C88">SUM(D81:G81)</f>
        <v>0</v>
      </c>
      <c r="D81" s="91">
        <v>0</v>
      </c>
      <c r="E81" s="91">
        <v>0</v>
      </c>
      <c r="F81" s="91">
        <v>0</v>
      </c>
      <c r="G81" s="91">
        <v>0</v>
      </c>
      <c r="H81" s="91">
        <f aca="true" t="shared" si="15" ref="H81:H86">SUM(I81:L81)</f>
        <v>0</v>
      </c>
      <c r="I81" s="91">
        <v>0</v>
      </c>
      <c r="J81" s="91">
        <v>0</v>
      </c>
      <c r="K81" s="91">
        <v>0</v>
      </c>
      <c r="L81" s="91">
        <v>0</v>
      </c>
      <c r="M81" s="249">
        <v>0</v>
      </c>
      <c r="O81" s="89"/>
      <c r="P81" s="103"/>
      <c r="Q81" s="103"/>
    </row>
    <row r="82" spans="1:17" s="22" customFormat="1" ht="12" customHeight="1" hidden="1">
      <c r="A82" s="433"/>
      <c r="B82" s="96" t="s">
        <v>247</v>
      </c>
      <c r="C82" s="91">
        <f t="shared" si="14"/>
        <v>0</v>
      </c>
      <c r="D82" s="91">
        <v>0</v>
      </c>
      <c r="E82" s="91">
        <v>0</v>
      </c>
      <c r="F82" s="91">
        <v>0</v>
      </c>
      <c r="G82" s="91">
        <v>0</v>
      </c>
      <c r="H82" s="91">
        <f t="shared" si="15"/>
        <v>0</v>
      </c>
      <c r="I82" s="91">
        <v>0</v>
      </c>
      <c r="J82" s="91">
        <v>0</v>
      </c>
      <c r="K82" s="91">
        <v>0</v>
      </c>
      <c r="L82" s="91">
        <v>0</v>
      </c>
      <c r="M82" s="249">
        <v>0</v>
      </c>
      <c r="O82" s="89"/>
      <c r="P82" s="103"/>
      <c r="Q82" s="103"/>
    </row>
    <row r="83" spans="1:17" s="22" customFormat="1" ht="14.25" customHeight="1" hidden="1">
      <c r="A83" s="433"/>
      <c r="B83" s="96" t="s">
        <v>253</v>
      </c>
      <c r="C83" s="91">
        <f t="shared" si="14"/>
        <v>0</v>
      </c>
      <c r="D83" s="91">
        <v>0</v>
      </c>
      <c r="E83" s="91">
        <v>0</v>
      </c>
      <c r="F83" s="91">
        <v>0</v>
      </c>
      <c r="G83" s="91">
        <v>0</v>
      </c>
      <c r="H83" s="91">
        <f t="shared" si="15"/>
        <v>0</v>
      </c>
      <c r="I83" s="91">
        <v>0</v>
      </c>
      <c r="J83" s="91">
        <v>0</v>
      </c>
      <c r="K83" s="91">
        <v>0</v>
      </c>
      <c r="L83" s="91">
        <v>0</v>
      </c>
      <c r="M83" s="249">
        <v>0</v>
      </c>
      <c r="O83" s="89"/>
      <c r="P83" s="90"/>
      <c r="Q83" s="90"/>
    </row>
    <row r="84" spans="1:17" s="22" customFormat="1" ht="14.25" customHeight="1" hidden="1">
      <c r="A84" s="433"/>
      <c r="B84" s="96" t="s">
        <v>263</v>
      </c>
      <c r="C84" s="91">
        <f t="shared" si="14"/>
        <v>1</v>
      </c>
      <c r="D84" s="91">
        <v>0</v>
      </c>
      <c r="E84" s="91">
        <v>0</v>
      </c>
      <c r="F84" s="91">
        <v>1</v>
      </c>
      <c r="G84" s="91">
        <v>0</v>
      </c>
      <c r="H84" s="91">
        <f t="shared" si="15"/>
        <v>1</v>
      </c>
      <c r="I84" s="91">
        <v>0</v>
      </c>
      <c r="J84" s="91">
        <v>0</v>
      </c>
      <c r="K84" s="91">
        <v>1</v>
      </c>
      <c r="L84" s="91">
        <v>0</v>
      </c>
      <c r="M84" s="249">
        <f>+I84/H84*100</f>
        <v>0</v>
      </c>
      <c r="O84" s="89"/>
      <c r="P84" s="90"/>
      <c r="Q84" s="90"/>
    </row>
    <row r="85" spans="1:17" s="22" customFormat="1" ht="14.25" customHeight="1" hidden="1">
      <c r="A85" s="433"/>
      <c r="B85" s="96" t="s">
        <v>272</v>
      </c>
      <c r="C85" s="91">
        <f t="shared" si="14"/>
        <v>0</v>
      </c>
      <c r="D85" s="91">
        <v>0</v>
      </c>
      <c r="E85" s="91">
        <v>0</v>
      </c>
      <c r="F85" s="91">
        <v>0</v>
      </c>
      <c r="G85" s="91">
        <v>0</v>
      </c>
      <c r="H85" s="91">
        <f t="shared" si="15"/>
        <v>0</v>
      </c>
      <c r="I85" s="91">
        <v>0</v>
      </c>
      <c r="J85" s="91">
        <v>0</v>
      </c>
      <c r="K85" s="91">
        <v>0</v>
      </c>
      <c r="L85" s="91">
        <v>0</v>
      </c>
      <c r="M85" s="249">
        <v>0</v>
      </c>
      <c r="O85" s="89"/>
      <c r="P85" s="90"/>
      <c r="Q85" s="90"/>
    </row>
    <row r="86" spans="1:17" s="22" customFormat="1" ht="14.25" hidden="1">
      <c r="A86" s="433"/>
      <c r="B86" s="96" t="s">
        <v>276</v>
      </c>
      <c r="C86" s="91">
        <f t="shared" si="14"/>
        <v>0</v>
      </c>
      <c r="D86" s="91">
        <v>0</v>
      </c>
      <c r="E86" s="91">
        <v>0</v>
      </c>
      <c r="F86" s="91">
        <v>0</v>
      </c>
      <c r="G86" s="91">
        <v>0</v>
      </c>
      <c r="H86" s="91">
        <f t="shared" si="15"/>
        <v>0</v>
      </c>
      <c r="I86" s="91">
        <v>0</v>
      </c>
      <c r="J86" s="91">
        <v>0</v>
      </c>
      <c r="K86" s="91">
        <v>0</v>
      </c>
      <c r="L86" s="91">
        <v>0</v>
      </c>
      <c r="M86" s="249">
        <v>0</v>
      </c>
      <c r="O86" s="89"/>
      <c r="P86" s="90"/>
      <c r="Q86" s="90"/>
    </row>
    <row r="87" spans="1:17" s="22" customFormat="1" ht="14.25">
      <c r="A87" s="433"/>
      <c r="B87" s="96" t="s">
        <v>302</v>
      </c>
      <c r="C87" s="91">
        <f t="shared" si="14"/>
        <v>0</v>
      </c>
      <c r="D87" s="91">
        <v>0</v>
      </c>
      <c r="E87" s="91">
        <v>0</v>
      </c>
      <c r="F87" s="91">
        <v>0</v>
      </c>
      <c r="G87" s="91">
        <v>0</v>
      </c>
      <c r="H87" s="91">
        <f>SUM(I87:L87)</f>
        <v>0</v>
      </c>
      <c r="I87" s="91">
        <v>0</v>
      </c>
      <c r="J87" s="91">
        <v>0</v>
      </c>
      <c r="K87" s="91">
        <v>0</v>
      </c>
      <c r="L87" s="91">
        <v>0</v>
      </c>
      <c r="M87" s="249">
        <v>0</v>
      </c>
      <c r="O87" s="89"/>
      <c r="P87" s="90"/>
      <c r="Q87" s="90"/>
    </row>
    <row r="88" spans="1:17" s="22" customFormat="1" ht="14.25">
      <c r="A88" s="433"/>
      <c r="B88" s="96" t="s">
        <v>309</v>
      </c>
      <c r="C88" s="91">
        <f t="shared" si="14"/>
        <v>0</v>
      </c>
      <c r="D88" s="91">
        <v>0</v>
      </c>
      <c r="E88" s="91">
        <v>0</v>
      </c>
      <c r="F88" s="91">
        <v>0</v>
      </c>
      <c r="G88" s="91">
        <v>0</v>
      </c>
      <c r="H88" s="91">
        <f>SUM(I88:L88)</f>
        <v>0</v>
      </c>
      <c r="I88" s="91">
        <v>0</v>
      </c>
      <c r="J88" s="91">
        <v>0</v>
      </c>
      <c r="K88" s="91">
        <v>0</v>
      </c>
      <c r="L88" s="91">
        <v>0</v>
      </c>
      <c r="M88" s="249">
        <v>0</v>
      </c>
      <c r="O88" s="89"/>
      <c r="P88" s="90"/>
      <c r="Q88" s="90"/>
    </row>
    <row r="89" spans="1:17" s="22" customFormat="1" ht="14.25">
      <c r="A89" s="433"/>
      <c r="B89" s="96" t="s">
        <v>319</v>
      </c>
      <c r="C89" s="91">
        <f>SUM(D89:G89)</f>
        <v>0</v>
      </c>
      <c r="D89" s="91">
        <v>0</v>
      </c>
      <c r="E89" s="91">
        <v>0</v>
      </c>
      <c r="F89" s="91">
        <v>0</v>
      </c>
      <c r="G89" s="91">
        <v>0</v>
      </c>
      <c r="H89" s="91">
        <f>SUM(I89:L89)</f>
        <v>0</v>
      </c>
      <c r="I89" s="91">
        <v>0</v>
      </c>
      <c r="J89" s="91">
        <v>0</v>
      </c>
      <c r="K89" s="91">
        <v>0</v>
      </c>
      <c r="L89" s="91">
        <v>0</v>
      </c>
      <c r="M89" s="249">
        <v>0</v>
      </c>
      <c r="O89" s="89"/>
      <c r="P89" s="90"/>
      <c r="Q89" s="90"/>
    </row>
    <row r="90" spans="1:17" s="22" customFormat="1" ht="14.25">
      <c r="A90" s="433"/>
      <c r="B90" s="96" t="s">
        <v>325</v>
      </c>
      <c r="C90" s="91">
        <f>SUM(D90:G90)</f>
        <v>0</v>
      </c>
      <c r="D90" s="91">
        <v>0</v>
      </c>
      <c r="E90" s="91">
        <v>0</v>
      </c>
      <c r="F90" s="91">
        <v>0</v>
      </c>
      <c r="G90" s="91">
        <v>0</v>
      </c>
      <c r="H90" s="91">
        <f>SUM(I90:L90)</f>
        <v>0</v>
      </c>
      <c r="I90" s="91">
        <v>0</v>
      </c>
      <c r="J90" s="91">
        <v>0</v>
      </c>
      <c r="K90" s="91">
        <v>0</v>
      </c>
      <c r="L90" s="91">
        <v>0</v>
      </c>
      <c r="M90" s="249">
        <v>0</v>
      </c>
      <c r="O90" s="89"/>
      <c r="P90" s="90"/>
      <c r="Q90" s="90"/>
    </row>
    <row r="91" spans="1:17" s="22" customFormat="1" ht="14.25">
      <c r="A91" s="433"/>
      <c r="B91" s="96" t="s">
        <v>358</v>
      </c>
      <c r="C91" s="91">
        <f>SUM(D91:G91)</f>
        <v>0</v>
      </c>
      <c r="D91" s="91">
        <v>0</v>
      </c>
      <c r="E91" s="91">
        <v>0</v>
      </c>
      <c r="F91" s="91">
        <v>0</v>
      </c>
      <c r="G91" s="91">
        <v>0</v>
      </c>
      <c r="H91" s="91">
        <f>SUM(I91:L91)</f>
        <v>0</v>
      </c>
      <c r="I91" s="91">
        <v>0</v>
      </c>
      <c r="J91" s="91">
        <v>0</v>
      </c>
      <c r="K91" s="91">
        <v>0</v>
      </c>
      <c r="L91" s="91">
        <v>0</v>
      </c>
      <c r="M91" s="249">
        <v>0</v>
      </c>
      <c r="O91" s="89"/>
      <c r="P91" s="90"/>
      <c r="Q91" s="90"/>
    </row>
    <row r="92" spans="1:17" s="22" customFormat="1" ht="12" customHeight="1">
      <c r="A92" s="433"/>
      <c r="B92" s="99" t="s">
        <v>141</v>
      </c>
      <c r="C92" s="91"/>
      <c r="D92" s="91"/>
      <c r="E92" s="93" t="s">
        <v>135</v>
      </c>
      <c r="F92" s="91"/>
      <c r="G92" s="93" t="s">
        <v>135</v>
      </c>
      <c r="H92" s="93"/>
      <c r="I92" s="93" t="s">
        <v>135</v>
      </c>
      <c r="J92" s="93" t="s">
        <v>135</v>
      </c>
      <c r="K92" s="93" t="s">
        <v>135</v>
      </c>
      <c r="L92" s="93" t="s">
        <v>135</v>
      </c>
      <c r="M92" s="104"/>
      <c r="O92" s="89"/>
      <c r="P92" s="90"/>
      <c r="Q92" s="90"/>
    </row>
    <row r="93" spans="1:17" s="22" customFormat="1" ht="12" customHeight="1" hidden="1">
      <c r="A93" s="433"/>
      <c r="B93" s="96" t="s">
        <v>183</v>
      </c>
      <c r="C93" s="91">
        <v>1</v>
      </c>
      <c r="D93" s="93">
        <v>0</v>
      </c>
      <c r="E93" s="93" t="s">
        <v>126</v>
      </c>
      <c r="F93" s="93">
        <v>1</v>
      </c>
      <c r="G93" s="93">
        <v>0</v>
      </c>
      <c r="H93" s="93">
        <v>1</v>
      </c>
      <c r="I93" s="93">
        <v>0</v>
      </c>
      <c r="J93" s="93" t="s">
        <v>126</v>
      </c>
      <c r="K93" s="93">
        <v>1</v>
      </c>
      <c r="L93" s="93">
        <v>0</v>
      </c>
      <c r="M93" s="104">
        <v>0</v>
      </c>
      <c r="O93" s="89"/>
      <c r="P93" s="90"/>
      <c r="Q93" s="90"/>
    </row>
    <row r="94" spans="1:17" s="22" customFormat="1" ht="12" customHeight="1" hidden="1">
      <c r="A94" s="433"/>
      <c r="B94" s="96" t="s">
        <v>182</v>
      </c>
      <c r="C94" s="91">
        <v>0</v>
      </c>
      <c r="D94" s="91">
        <v>0</v>
      </c>
      <c r="E94" s="91">
        <v>0</v>
      </c>
      <c r="F94" s="91">
        <v>0</v>
      </c>
      <c r="G94" s="91">
        <v>0</v>
      </c>
      <c r="H94" s="91">
        <v>0</v>
      </c>
      <c r="I94" s="91">
        <v>0</v>
      </c>
      <c r="J94" s="91">
        <v>0</v>
      </c>
      <c r="K94" s="91">
        <v>0</v>
      </c>
      <c r="L94" s="91">
        <v>0</v>
      </c>
      <c r="M94" s="104">
        <v>0</v>
      </c>
      <c r="O94" s="89"/>
      <c r="P94" s="90"/>
      <c r="Q94" s="90"/>
    </row>
    <row r="95" spans="1:17" s="22" customFormat="1" ht="12" customHeight="1" hidden="1">
      <c r="A95" s="433"/>
      <c r="B95" s="96" t="s">
        <v>184</v>
      </c>
      <c r="C95" s="91">
        <v>1</v>
      </c>
      <c r="D95" s="91">
        <v>1</v>
      </c>
      <c r="E95" s="91">
        <v>0</v>
      </c>
      <c r="F95" s="91">
        <v>0</v>
      </c>
      <c r="G95" s="91">
        <v>0</v>
      </c>
      <c r="H95" s="91">
        <v>3</v>
      </c>
      <c r="I95" s="91">
        <v>3</v>
      </c>
      <c r="J95" s="91">
        <v>0</v>
      </c>
      <c r="K95" s="91">
        <v>0</v>
      </c>
      <c r="L95" s="91">
        <v>0</v>
      </c>
      <c r="M95" s="104">
        <v>100</v>
      </c>
      <c r="O95" s="89"/>
      <c r="P95" s="90"/>
      <c r="Q95" s="90"/>
    </row>
    <row r="96" spans="1:17" s="22" customFormat="1" ht="12" customHeight="1" hidden="1">
      <c r="A96" s="433"/>
      <c r="B96" s="96" t="s">
        <v>185</v>
      </c>
      <c r="C96" s="91">
        <v>1</v>
      </c>
      <c r="D96" s="91">
        <v>0</v>
      </c>
      <c r="E96" s="91">
        <v>0</v>
      </c>
      <c r="F96" s="91">
        <v>1</v>
      </c>
      <c r="G96" s="91">
        <v>0</v>
      </c>
      <c r="H96" s="91">
        <v>1</v>
      </c>
      <c r="I96" s="91">
        <v>0</v>
      </c>
      <c r="J96" s="91">
        <v>0</v>
      </c>
      <c r="K96" s="91">
        <v>1</v>
      </c>
      <c r="L96" s="91">
        <v>0</v>
      </c>
      <c r="M96" s="94">
        <f>+I96/H96*100</f>
        <v>0</v>
      </c>
      <c r="O96" s="89"/>
      <c r="P96" s="90"/>
      <c r="Q96" s="90"/>
    </row>
    <row r="97" spans="1:17" s="22" customFormat="1" ht="12" customHeight="1" hidden="1">
      <c r="A97" s="433"/>
      <c r="B97" s="221" t="s">
        <v>186</v>
      </c>
      <c r="C97" s="217">
        <v>0</v>
      </c>
      <c r="D97" s="91">
        <v>0</v>
      </c>
      <c r="E97" s="91">
        <v>0</v>
      </c>
      <c r="F97" s="91">
        <v>0</v>
      </c>
      <c r="G97" s="91">
        <v>0</v>
      </c>
      <c r="H97" s="91">
        <v>0</v>
      </c>
      <c r="I97" s="91">
        <v>0</v>
      </c>
      <c r="J97" s="91">
        <v>0</v>
      </c>
      <c r="K97" s="91">
        <v>0</v>
      </c>
      <c r="L97" s="91">
        <v>0</v>
      </c>
      <c r="M97" s="104">
        <v>0</v>
      </c>
      <c r="O97" s="89"/>
      <c r="P97" s="90"/>
      <c r="Q97" s="90"/>
    </row>
    <row r="98" spans="1:17" s="22" customFormat="1" ht="12" customHeight="1" hidden="1">
      <c r="A98" s="434"/>
      <c r="B98" s="221" t="s">
        <v>190</v>
      </c>
      <c r="C98" s="217">
        <f>SUM(D98:G98)</f>
        <v>2</v>
      </c>
      <c r="D98" s="91">
        <v>0</v>
      </c>
      <c r="E98" s="91">
        <v>0</v>
      </c>
      <c r="F98" s="91">
        <v>2</v>
      </c>
      <c r="G98" s="91">
        <v>0</v>
      </c>
      <c r="H98" s="91">
        <f>SUM(I98:L98)</f>
        <v>2</v>
      </c>
      <c r="I98" s="91">
        <v>0</v>
      </c>
      <c r="J98" s="91">
        <v>0</v>
      </c>
      <c r="K98" s="91">
        <v>2</v>
      </c>
      <c r="L98" s="91">
        <v>0</v>
      </c>
      <c r="M98" s="249">
        <f>+I98/H98*100</f>
        <v>0</v>
      </c>
      <c r="O98" s="89"/>
      <c r="P98" s="90"/>
      <c r="Q98" s="90"/>
    </row>
    <row r="99" spans="1:17" s="22" customFormat="1" ht="12" customHeight="1" hidden="1">
      <c r="A99" s="434"/>
      <c r="B99" s="96" t="s">
        <v>201</v>
      </c>
      <c r="C99" s="217">
        <f>SUM(D99:G99)</f>
        <v>0</v>
      </c>
      <c r="D99" s="91">
        <v>0</v>
      </c>
      <c r="E99" s="91">
        <v>0</v>
      </c>
      <c r="F99" s="91">
        <v>0</v>
      </c>
      <c r="G99" s="91">
        <v>0</v>
      </c>
      <c r="H99" s="91">
        <f>SUM(I99:L99)</f>
        <v>0</v>
      </c>
      <c r="I99" s="91">
        <v>0</v>
      </c>
      <c r="J99" s="91">
        <v>0</v>
      </c>
      <c r="K99" s="91">
        <v>0</v>
      </c>
      <c r="L99" s="91">
        <v>0</v>
      </c>
      <c r="M99" s="104">
        <v>0</v>
      </c>
      <c r="O99" s="89"/>
      <c r="P99" s="90"/>
      <c r="Q99" s="90"/>
    </row>
    <row r="100" spans="1:17" s="22" customFormat="1" ht="12" customHeight="1" hidden="1">
      <c r="A100" s="434"/>
      <c r="B100" s="96" t="s">
        <v>235</v>
      </c>
      <c r="C100" s="217">
        <f>SUM(D100:G100)</f>
        <v>1</v>
      </c>
      <c r="D100" s="91">
        <v>0</v>
      </c>
      <c r="E100" s="91">
        <v>0</v>
      </c>
      <c r="F100" s="91">
        <v>1</v>
      </c>
      <c r="G100" s="91">
        <v>0</v>
      </c>
      <c r="H100" s="91">
        <f>SUM(I100:L100)</f>
        <v>1</v>
      </c>
      <c r="I100" s="91">
        <v>0</v>
      </c>
      <c r="J100" s="91">
        <v>0</v>
      </c>
      <c r="K100" s="91">
        <v>1</v>
      </c>
      <c r="L100" s="91">
        <v>0</v>
      </c>
      <c r="M100" s="249">
        <f>+I100/H100*100</f>
        <v>0</v>
      </c>
      <c r="O100" s="89"/>
      <c r="P100" s="90"/>
      <c r="Q100" s="90"/>
    </row>
    <row r="101" spans="1:17" s="22" customFormat="1" ht="12" customHeight="1" hidden="1">
      <c r="A101" s="434"/>
      <c r="B101" s="96" t="s">
        <v>234</v>
      </c>
      <c r="C101" s="217">
        <v>0</v>
      </c>
      <c r="D101" s="91">
        <v>0</v>
      </c>
      <c r="E101" s="91">
        <v>0</v>
      </c>
      <c r="F101" s="91">
        <v>0</v>
      </c>
      <c r="G101" s="91">
        <v>0</v>
      </c>
      <c r="H101" s="91">
        <v>0</v>
      </c>
      <c r="I101" s="91">
        <v>0</v>
      </c>
      <c r="J101" s="91">
        <v>0</v>
      </c>
      <c r="K101" s="91">
        <v>0</v>
      </c>
      <c r="L101" s="91">
        <v>0</v>
      </c>
      <c r="M101" s="104">
        <v>0</v>
      </c>
      <c r="O101" s="89"/>
      <c r="P101" s="90"/>
      <c r="Q101" s="90"/>
    </row>
    <row r="102" spans="1:17" s="22" customFormat="1" ht="12" customHeight="1" hidden="1">
      <c r="A102" s="434"/>
      <c r="B102" s="96" t="s">
        <v>239</v>
      </c>
      <c r="C102" s="217">
        <f>SUM(D102:G102)</f>
        <v>2</v>
      </c>
      <c r="D102" s="91">
        <v>0</v>
      </c>
      <c r="E102" s="91">
        <v>0</v>
      </c>
      <c r="F102" s="93">
        <v>2</v>
      </c>
      <c r="G102" s="91">
        <v>0</v>
      </c>
      <c r="H102" s="91">
        <f>SUM(I102:L102)</f>
        <v>2</v>
      </c>
      <c r="I102" s="91">
        <v>0</v>
      </c>
      <c r="J102" s="91">
        <v>0</v>
      </c>
      <c r="K102" s="91">
        <v>2</v>
      </c>
      <c r="L102" s="91">
        <v>0</v>
      </c>
      <c r="M102" s="104">
        <f>+I102/H102*100</f>
        <v>0</v>
      </c>
      <c r="O102" s="89"/>
      <c r="P102" s="90"/>
      <c r="Q102" s="90"/>
    </row>
    <row r="103" spans="1:17" s="22" customFormat="1" ht="12" customHeight="1" hidden="1">
      <c r="A103" s="434"/>
      <c r="B103" s="221" t="s">
        <v>247</v>
      </c>
      <c r="C103" s="91">
        <f>SUM(D103:G103)</f>
        <v>4</v>
      </c>
      <c r="D103" s="91">
        <v>0</v>
      </c>
      <c r="E103" s="91">
        <v>0</v>
      </c>
      <c r="F103" s="93">
        <v>4</v>
      </c>
      <c r="G103" s="91">
        <v>0</v>
      </c>
      <c r="H103" s="91">
        <f>SUM(I103:L103)</f>
        <v>7</v>
      </c>
      <c r="I103" s="91">
        <v>0</v>
      </c>
      <c r="J103" s="91">
        <v>0</v>
      </c>
      <c r="K103" s="91">
        <v>7</v>
      </c>
      <c r="L103" s="91">
        <v>0</v>
      </c>
      <c r="M103" s="104">
        <f>+I103/H103*100</f>
        <v>0</v>
      </c>
      <c r="O103" s="89"/>
      <c r="P103" s="90"/>
      <c r="Q103" s="90"/>
    </row>
    <row r="104" spans="1:17" s="22" customFormat="1" ht="12" customHeight="1" hidden="1">
      <c r="A104" s="434"/>
      <c r="B104" s="96" t="s">
        <v>258</v>
      </c>
      <c r="C104" s="91">
        <f>SUM(D104:G104)</f>
        <v>0</v>
      </c>
      <c r="D104" s="91">
        <v>0</v>
      </c>
      <c r="E104" s="91">
        <v>0</v>
      </c>
      <c r="F104" s="91">
        <v>0</v>
      </c>
      <c r="G104" s="91">
        <v>0</v>
      </c>
      <c r="H104" s="91">
        <f>SUM(I104:L104)</f>
        <v>0</v>
      </c>
      <c r="I104" s="91">
        <v>0</v>
      </c>
      <c r="J104" s="91">
        <v>0</v>
      </c>
      <c r="K104" s="91">
        <v>0</v>
      </c>
      <c r="L104" s="91">
        <v>0</v>
      </c>
      <c r="M104" s="249">
        <v>0</v>
      </c>
      <c r="O104" s="89"/>
      <c r="P104" s="90"/>
      <c r="Q104" s="90"/>
    </row>
    <row r="105" spans="1:17" s="106" customFormat="1" ht="12" customHeight="1" hidden="1">
      <c r="A105" s="434"/>
      <c r="B105" s="221" t="s">
        <v>264</v>
      </c>
      <c r="C105" s="91">
        <f>SUM(D105:G105)</f>
        <v>1</v>
      </c>
      <c r="D105" s="91">
        <v>0</v>
      </c>
      <c r="E105" s="91">
        <v>0</v>
      </c>
      <c r="F105" s="93">
        <v>1</v>
      </c>
      <c r="G105" s="91">
        <v>0</v>
      </c>
      <c r="H105" s="91">
        <f>SUM(I105:L105)</f>
        <v>1</v>
      </c>
      <c r="I105" s="91">
        <v>0</v>
      </c>
      <c r="J105" s="91">
        <v>0</v>
      </c>
      <c r="K105" s="91">
        <v>1</v>
      </c>
      <c r="L105" s="91">
        <v>0</v>
      </c>
      <c r="M105" s="249">
        <f aca="true" t="shared" si="16" ref="M105:M110">+I105/H105*100</f>
        <v>0</v>
      </c>
      <c r="O105" s="269"/>
      <c r="P105" s="270"/>
      <c r="Q105" s="270"/>
    </row>
    <row r="106" spans="1:17" s="106" customFormat="1" ht="12" customHeight="1" hidden="1">
      <c r="A106" s="434"/>
      <c r="B106" s="221" t="s">
        <v>272</v>
      </c>
      <c r="C106" s="91">
        <f>SUM(D106:G106)</f>
        <v>4</v>
      </c>
      <c r="D106" s="91">
        <v>2</v>
      </c>
      <c r="E106" s="91">
        <v>1</v>
      </c>
      <c r="F106" s="93">
        <v>1</v>
      </c>
      <c r="G106" s="91">
        <v>0</v>
      </c>
      <c r="H106" s="91">
        <f>SUM(I106:L106)</f>
        <v>4</v>
      </c>
      <c r="I106" s="91">
        <v>2</v>
      </c>
      <c r="J106" s="91">
        <v>1</v>
      </c>
      <c r="K106" s="91">
        <v>1</v>
      </c>
      <c r="L106" s="91">
        <v>0</v>
      </c>
      <c r="M106" s="249">
        <f t="shared" si="16"/>
        <v>50</v>
      </c>
      <c r="O106" s="269"/>
      <c r="P106" s="270"/>
      <c r="Q106" s="270"/>
    </row>
    <row r="107" spans="1:17" s="106" customFormat="1" ht="0.75" customHeight="1">
      <c r="A107" s="434"/>
      <c r="B107" s="221" t="s">
        <v>276</v>
      </c>
      <c r="C107" s="91">
        <v>2</v>
      </c>
      <c r="D107" s="91">
        <v>0</v>
      </c>
      <c r="E107" s="91">
        <v>1</v>
      </c>
      <c r="F107" s="93">
        <v>1</v>
      </c>
      <c r="G107" s="91">
        <v>0</v>
      </c>
      <c r="H107" s="91">
        <v>2</v>
      </c>
      <c r="I107" s="91">
        <v>0</v>
      </c>
      <c r="J107" s="91">
        <v>1</v>
      </c>
      <c r="K107" s="91">
        <v>1</v>
      </c>
      <c r="L107" s="91">
        <v>0</v>
      </c>
      <c r="M107" s="249">
        <f t="shared" si="16"/>
        <v>0</v>
      </c>
      <c r="O107" s="269"/>
      <c r="P107" s="270"/>
      <c r="Q107" s="270"/>
    </row>
    <row r="108" spans="1:17" s="106" customFormat="1" ht="12" customHeight="1">
      <c r="A108" s="434"/>
      <c r="B108" s="221" t="s">
        <v>302</v>
      </c>
      <c r="C108" s="217">
        <v>2</v>
      </c>
      <c r="D108" s="91">
        <v>0</v>
      </c>
      <c r="E108" s="91">
        <v>1</v>
      </c>
      <c r="F108" s="93">
        <v>1</v>
      </c>
      <c r="G108" s="91">
        <v>0</v>
      </c>
      <c r="H108" s="91">
        <v>4</v>
      </c>
      <c r="I108" s="91">
        <v>0</v>
      </c>
      <c r="J108" s="91">
        <v>2</v>
      </c>
      <c r="K108" s="91">
        <v>2</v>
      </c>
      <c r="L108" s="91">
        <v>0</v>
      </c>
      <c r="M108" s="249">
        <f t="shared" si="16"/>
        <v>0</v>
      </c>
      <c r="O108" s="269"/>
      <c r="P108" s="270"/>
      <c r="Q108" s="270"/>
    </row>
    <row r="109" spans="1:17" s="106" customFormat="1" ht="12" customHeight="1">
      <c r="A109" s="434"/>
      <c r="B109" s="221" t="s">
        <v>310</v>
      </c>
      <c r="C109" s="217">
        <f>SUM(D109:G109)</f>
        <v>2</v>
      </c>
      <c r="D109" s="93">
        <v>0</v>
      </c>
      <c r="E109" s="91">
        <v>0</v>
      </c>
      <c r="F109" s="93">
        <v>2</v>
      </c>
      <c r="G109" s="93">
        <v>0</v>
      </c>
      <c r="H109" s="91">
        <f>SUM(I109:L109)</f>
        <v>2</v>
      </c>
      <c r="I109" s="93">
        <v>0</v>
      </c>
      <c r="J109" s="91">
        <v>0</v>
      </c>
      <c r="K109" s="91">
        <v>2</v>
      </c>
      <c r="L109" s="93">
        <v>0</v>
      </c>
      <c r="M109" s="249">
        <f t="shared" si="16"/>
        <v>0</v>
      </c>
      <c r="O109" s="269"/>
      <c r="P109" s="270"/>
      <c r="Q109" s="270"/>
    </row>
    <row r="110" spans="1:17" s="106" customFormat="1" ht="12" customHeight="1">
      <c r="A110" s="434"/>
      <c r="B110" s="221" t="s">
        <v>319</v>
      </c>
      <c r="C110" s="217">
        <f>SUM(D110:G110)</f>
        <v>1</v>
      </c>
      <c r="D110" s="93">
        <v>0</v>
      </c>
      <c r="E110" s="91">
        <v>0</v>
      </c>
      <c r="F110" s="93">
        <v>1</v>
      </c>
      <c r="G110" s="93">
        <v>0</v>
      </c>
      <c r="H110" s="91">
        <f>SUM(I110:L110)</f>
        <v>1</v>
      </c>
      <c r="I110" s="93">
        <v>0</v>
      </c>
      <c r="J110" s="91">
        <v>0</v>
      </c>
      <c r="K110" s="91">
        <v>1</v>
      </c>
      <c r="L110" s="93">
        <v>0</v>
      </c>
      <c r="M110" s="249">
        <f t="shared" si="16"/>
        <v>0</v>
      </c>
      <c r="O110" s="269"/>
      <c r="P110" s="270"/>
      <c r="Q110" s="270"/>
    </row>
    <row r="111" spans="1:17" s="106" customFormat="1" ht="12" customHeight="1">
      <c r="A111" s="434"/>
      <c r="B111" s="221" t="s">
        <v>325</v>
      </c>
      <c r="C111" s="217">
        <v>0</v>
      </c>
      <c r="D111" s="93">
        <v>0</v>
      </c>
      <c r="E111" s="91">
        <v>0</v>
      </c>
      <c r="F111" s="93">
        <v>0</v>
      </c>
      <c r="G111" s="93">
        <v>0</v>
      </c>
      <c r="H111" s="91">
        <v>0</v>
      </c>
      <c r="I111" s="93">
        <v>0</v>
      </c>
      <c r="J111" s="91">
        <v>0</v>
      </c>
      <c r="K111" s="91">
        <v>0</v>
      </c>
      <c r="L111" s="93">
        <v>0</v>
      </c>
      <c r="M111" s="249">
        <v>0</v>
      </c>
      <c r="O111" s="269"/>
      <c r="P111" s="270"/>
      <c r="Q111" s="270"/>
    </row>
    <row r="112" spans="1:17" s="106" customFormat="1" ht="12" customHeight="1" thickBot="1">
      <c r="A112" s="435"/>
      <c r="B112" s="316" t="s">
        <v>359</v>
      </c>
      <c r="C112" s="317">
        <f>SUM(D112:G112)</f>
        <v>0</v>
      </c>
      <c r="D112" s="318">
        <v>0</v>
      </c>
      <c r="E112" s="304">
        <v>0</v>
      </c>
      <c r="F112" s="318">
        <v>0</v>
      </c>
      <c r="G112" s="318">
        <v>0</v>
      </c>
      <c r="H112" s="304">
        <f>SUM(I112:L112)</f>
        <v>0</v>
      </c>
      <c r="I112" s="318">
        <v>0</v>
      </c>
      <c r="J112" s="304">
        <v>0</v>
      </c>
      <c r="K112" s="304">
        <v>0</v>
      </c>
      <c r="L112" s="318">
        <v>0</v>
      </c>
      <c r="M112" s="319">
        <v>0</v>
      </c>
      <c r="O112" s="269"/>
      <c r="P112" s="270"/>
      <c r="Q112" s="270"/>
    </row>
    <row r="113" spans="1:17" s="106" customFormat="1" ht="12" customHeight="1">
      <c r="A113" s="332"/>
      <c r="B113" s="333"/>
      <c r="C113" s="91"/>
      <c r="D113" s="93"/>
      <c r="E113" s="91"/>
      <c r="F113" s="93"/>
      <c r="G113" s="93"/>
      <c r="H113" s="91"/>
      <c r="I113" s="93"/>
      <c r="J113" s="91"/>
      <c r="K113" s="91"/>
      <c r="L113" s="93"/>
      <c r="M113" s="249"/>
      <c r="O113" s="269"/>
      <c r="P113" s="270"/>
      <c r="Q113" s="270"/>
    </row>
    <row r="114" spans="1:13" s="32" customFormat="1" ht="12" customHeight="1">
      <c r="A114" s="218"/>
      <c r="B114" s="69" t="s">
        <v>269</v>
      </c>
      <c r="F114" s="175"/>
      <c r="H114" s="175"/>
      <c r="M114" s="101"/>
    </row>
    <row r="115" spans="2:13" s="32" customFormat="1" ht="12" customHeight="1">
      <c r="B115" s="182" t="s">
        <v>138</v>
      </c>
      <c r="F115" s="294"/>
      <c r="M115" s="101"/>
    </row>
    <row r="116" spans="2:13" s="32" customFormat="1" ht="12" customHeight="1">
      <c r="B116" s="69" t="s">
        <v>336</v>
      </c>
      <c r="M116" s="101"/>
    </row>
    <row r="117" spans="1:2" ht="16.5" hidden="1">
      <c r="A117" s="32"/>
      <c r="B117" s="69" t="s">
        <v>213</v>
      </c>
    </row>
    <row r="118" ht="13.5" customHeight="1">
      <c r="B118" s="321" t="s">
        <v>337</v>
      </c>
    </row>
  </sheetData>
  <sheetProtection/>
  <mergeCells count="2">
    <mergeCell ref="A4:B5"/>
    <mergeCell ref="A6:A112"/>
  </mergeCells>
  <printOptions horizontalCentered="1" verticalCentered="1"/>
  <pageMargins left="0.15748031496062992" right="0.15748031496062992" top="0.1968503937007874" bottom="0"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BH111"/>
  <sheetViews>
    <sheetView view="pageBreakPreview" zoomScale="115" zoomScaleSheetLayoutView="115" zoomScalePageLayoutView="0" workbookViewId="0" topLeftCell="A1">
      <selection activeCell="A32" sqref="A32:Q32"/>
    </sheetView>
  </sheetViews>
  <sheetFormatPr defaultColWidth="9.00390625" defaultRowHeight="16.5"/>
  <cols>
    <col min="1" max="1" width="13.50390625" style="140" customWidth="1"/>
    <col min="2" max="2" width="5.125" style="131" customWidth="1"/>
    <col min="3" max="17" width="6.125" style="131" customWidth="1"/>
    <col min="18" max="16384" width="9.00390625" style="127" customWidth="1"/>
  </cols>
  <sheetData>
    <row r="1" spans="1:17" ht="24.75" customHeight="1">
      <c r="A1" s="259" t="s">
        <v>367</v>
      </c>
      <c r="B1" s="1"/>
      <c r="C1" s="38"/>
      <c r="D1" s="38"/>
      <c r="E1" s="38"/>
      <c r="F1" s="38"/>
      <c r="G1" s="38"/>
      <c r="H1" s="38"/>
      <c r="I1" s="39"/>
      <c r="J1" s="39"/>
      <c r="K1" s="38"/>
      <c r="L1" s="38"/>
      <c r="M1" s="38"/>
      <c r="N1" s="38"/>
      <c r="O1" s="38"/>
      <c r="P1" s="38"/>
      <c r="Q1" s="38"/>
    </row>
    <row r="2" spans="1:17" ht="7.5" customHeight="1">
      <c r="A2" s="38"/>
      <c r="B2" s="38"/>
      <c r="C2" s="38"/>
      <c r="D2" s="38"/>
      <c r="E2" s="38"/>
      <c r="F2" s="38"/>
      <c r="G2" s="38"/>
      <c r="H2" s="38"/>
      <c r="I2" s="38"/>
      <c r="J2" s="38"/>
      <c r="K2" s="38"/>
      <c r="L2" s="38"/>
      <c r="M2" s="38"/>
      <c r="N2" s="38"/>
      <c r="O2" s="38"/>
      <c r="P2" s="38"/>
      <c r="Q2" s="38"/>
    </row>
    <row r="3" spans="1:17" ht="15" customHeight="1" thickBot="1">
      <c r="A3" s="128"/>
      <c r="B3" s="129"/>
      <c r="C3" s="129"/>
      <c r="D3" s="129"/>
      <c r="E3" s="129"/>
      <c r="F3" s="129"/>
      <c r="G3" s="132"/>
      <c r="H3" s="130"/>
      <c r="K3" s="133"/>
      <c r="L3" s="129"/>
      <c r="M3" s="129"/>
      <c r="N3" s="129"/>
      <c r="O3" s="129"/>
      <c r="P3" s="134" t="s">
        <v>181</v>
      </c>
      <c r="Q3" s="130"/>
    </row>
    <row r="4" spans="1:60" s="135" customFormat="1" ht="14.25" customHeight="1">
      <c r="A4" s="108"/>
      <c r="B4" s="109"/>
      <c r="C4" s="110"/>
      <c r="D4" s="111" t="s">
        <v>29</v>
      </c>
      <c r="E4" s="111"/>
      <c r="F4" s="111"/>
      <c r="G4" s="111"/>
      <c r="H4" s="111"/>
      <c r="I4" s="111" t="s">
        <v>148</v>
      </c>
      <c r="J4" s="111"/>
      <c r="K4" s="111"/>
      <c r="L4" s="111"/>
      <c r="M4" s="111"/>
      <c r="N4" s="111"/>
      <c r="O4" s="111" t="s">
        <v>31</v>
      </c>
      <c r="P4" s="111"/>
      <c r="Q4" s="111"/>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row>
    <row r="5" spans="1:60" s="135" customFormat="1" ht="14.25" customHeight="1">
      <c r="A5" s="112"/>
      <c r="B5" s="113"/>
      <c r="C5" s="115" t="s">
        <v>0</v>
      </c>
      <c r="D5" s="116" t="s">
        <v>30</v>
      </c>
      <c r="E5" s="117" t="s">
        <v>179</v>
      </c>
      <c r="F5" s="117"/>
      <c r="G5" s="117"/>
      <c r="H5" s="117"/>
      <c r="I5" s="117"/>
      <c r="J5" s="117"/>
      <c r="K5" s="117" t="s">
        <v>145</v>
      </c>
      <c r="L5" s="215"/>
      <c r="M5" s="115" t="s">
        <v>32</v>
      </c>
      <c r="N5" s="115" t="s">
        <v>33</v>
      </c>
      <c r="O5" s="115" t="s">
        <v>32</v>
      </c>
      <c r="P5" s="118" t="s">
        <v>2</v>
      </c>
      <c r="Q5" s="216" t="s">
        <v>180</v>
      </c>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s="135" customFormat="1" ht="14.25" customHeight="1">
      <c r="A6" s="112"/>
      <c r="B6" s="113"/>
      <c r="C6" s="115"/>
      <c r="D6" s="213"/>
      <c r="E6" s="213" t="s">
        <v>38</v>
      </c>
      <c r="F6" s="213" t="s">
        <v>33</v>
      </c>
      <c r="G6" s="236" t="s">
        <v>196</v>
      </c>
      <c r="H6" s="215" t="s">
        <v>197</v>
      </c>
      <c r="I6" s="215" t="s">
        <v>198</v>
      </c>
      <c r="J6" s="237" t="s">
        <v>145</v>
      </c>
      <c r="K6" s="213" t="s">
        <v>36</v>
      </c>
      <c r="L6" s="213" t="s">
        <v>37</v>
      </c>
      <c r="M6" s="115"/>
      <c r="N6" s="115"/>
      <c r="O6" s="115"/>
      <c r="P6" s="118"/>
      <c r="Q6" s="115"/>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s="135" customFormat="1" ht="14.25" customHeight="1">
      <c r="A7" s="112"/>
      <c r="B7" s="113"/>
      <c r="C7" s="115"/>
      <c r="D7" s="118"/>
      <c r="E7" s="118"/>
      <c r="F7" s="118"/>
      <c r="G7" s="235" t="s">
        <v>40</v>
      </c>
      <c r="H7" s="115" t="s">
        <v>35</v>
      </c>
      <c r="I7" s="115" t="s">
        <v>34</v>
      </c>
      <c r="J7" s="58" t="s">
        <v>109</v>
      </c>
      <c r="K7" s="118"/>
      <c r="L7" s="118"/>
      <c r="M7" s="115"/>
      <c r="N7" s="115"/>
      <c r="O7" s="115"/>
      <c r="P7" s="118"/>
      <c r="Q7" s="115"/>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row>
    <row r="8" spans="1:60" s="135" customFormat="1" ht="14.25" customHeight="1">
      <c r="A8" s="112"/>
      <c r="B8" s="113"/>
      <c r="C8" s="115"/>
      <c r="D8" s="115"/>
      <c r="E8" s="115"/>
      <c r="F8" s="115"/>
      <c r="G8" s="118"/>
      <c r="H8" s="115" t="s">
        <v>40</v>
      </c>
      <c r="I8" s="115" t="s">
        <v>41</v>
      </c>
      <c r="J8" s="58" t="s">
        <v>41</v>
      </c>
      <c r="K8" s="115"/>
      <c r="L8" s="115"/>
      <c r="M8" s="115"/>
      <c r="N8" s="115"/>
      <c r="O8" s="115"/>
      <c r="P8" s="118"/>
      <c r="Q8" s="115"/>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row>
    <row r="9" spans="1:60" s="135" customFormat="1" ht="14.25" customHeight="1">
      <c r="A9" s="119"/>
      <c r="B9" s="120"/>
      <c r="C9" s="115"/>
      <c r="D9" s="115"/>
      <c r="E9" s="115"/>
      <c r="F9" s="115" t="s">
        <v>43</v>
      </c>
      <c r="G9" s="118" t="s">
        <v>39</v>
      </c>
      <c r="H9" s="115" t="s">
        <v>39</v>
      </c>
      <c r="I9" s="115" t="s">
        <v>42</v>
      </c>
      <c r="J9" s="58" t="s">
        <v>42</v>
      </c>
      <c r="K9" s="115"/>
      <c r="L9" s="115"/>
      <c r="M9" s="115"/>
      <c r="N9" s="115"/>
      <c r="O9" s="115"/>
      <c r="P9" s="118" t="s">
        <v>44</v>
      </c>
      <c r="Q9" s="115"/>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row>
    <row r="10" spans="1:60" s="135" customFormat="1" ht="14.25" customHeight="1">
      <c r="A10" s="112"/>
      <c r="B10" s="113"/>
      <c r="C10" s="115"/>
      <c r="D10" s="115" t="s">
        <v>8</v>
      </c>
      <c r="E10" s="115"/>
      <c r="F10" s="115"/>
      <c r="G10" s="118"/>
      <c r="H10" s="115"/>
      <c r="I10" s="115" t="s">
        <v>45</v>
      </c>
      <c r="J10" s="58" t="s">
        <v>45</v>
      </c>
      <c r="K10" s="115"/>
      <c r="L10" s="115"/>
      <c r="M10" s="115"/>
      <c r="N10" s="115"/>
      <c r="O10" s="115"/>
      <c r="P10" s="118"/>
      <c r="Q10" s="115"/>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s="135" customFormat="1" ht="14.25" customHeight="1">
      <c r="A11" s="112"/>
      <c r="B11" s="113"/>
      <c r="C11" s="115"/>
      <c r="D11" s="115"/>
      <c r="E11" s="115"/>
      <c r="F11" s="115"/>
      <c r="G11" s="118"/>
      <c r="H11" s="115" t="s">
        <v>113</v>
      </c>
      <c r="I11" s="115" t="s">
        <v>74</v>
      </c>
      <c r="J11" s="58" t="s">
        <v>110</v>
      </c>
      <c r="K11" s="115"/>
      <c r="L11" s="115"/>
      <c r="M11" s="115"/>
      <c r="N11" s="115"/>
      <c r="O11" s="115"/>
      <c r="P11" s="118"/>
      <c r="Q11" s="115"/>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row>
    <row r="12" spans="1:60" s="135" customFormat="1" ht="14.25" customHeight="1">
      <c r="A12" s="112"/>
      <c r="B12" s="113"/>
      <c r="C12" s="115"/>
      <c r="D12" s="115"/>
      <c r="E12" s="115"/>
      <c r="F12" s="115" t="s">
        <v>47</v>
      </c>
      <c r="G12" s="118" t="s">
        <v>42</v>
      </c>
      <c r="H12" s="115" t="s">
        <v>41</v>
      </c>
      <c r="I12" s="115" t="s">
        <v>41</v>
      </c>
      <c r="J12" s="58" t="s">
        <v>111</v>
      </c>
      <c r="K12" s="115"/>
      <c r="L12" s="115"/>
      <c r="M12" s="115"/>
      <c r="N12" s="115"/>
      <c r="O12" s="115"/>
      <c r="P12" s="118"/>
      <c r="Q12" s="115"/>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row>
    <row r="13" spans="1:60" s="135" customFormat="1" ht="14.25" customHeight="1">
      <c r="A13" s="112"/>
      <c r="B13" s="113"/>
      <c r="C13" s="115"/>
      <c r="D13" s="115"/>
      <c r="E13" s="115"/>
      <c r="F13" s="115"/>
      <c r="G13" s="118"/>
      <c r="H13" s="115" t="s">
        <v>46</v>
      </c>
      <c r="I13" s="115" t="s">
        <v>46</v>
      </c>
      <c r="J13" s="58" t="s">
        <v>112</v>
      </c>
      <c r="K13" s="115"/>
      <c r="L13" s="115"/>
      <c r="M13" s="115"/>
      <c r="N13" s="115"/>
      <c r="O13" s="115"/>
      <c r="P13" s="118"/>
      <c r="Q13" s="115"/>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s="135" customFormat="1" ht="14.25" customHeight="1" thickBot="1">
      <c r="A14" s="121"/>
      <c r="B14" s="122"/>
      <c r="C14" s="123" t="s">
        <v>8</v>
      </c>
      <c r="D14" s="123"/>
      <c r="E14" s="123" t="s">
        <v>52</v>
      </c>
      <c r="F14" s="123" t="s">
        <v>52</v>
      </c>
      <c r="G14" s="214" t="s">
        <v>49</v>
      </c>
      <c r="H14" s="123" t="s">
        <v>48</v>
      </c>
      <c r="I14" s="123" t="s">
        <v>48</v>
      </c>
      <c r="J14" s="126" t="s">
        <v>108</v>
      </c>
      <c r="K14" s="123" t="s">
        <v>50</v>
      </c>
      <c r="L14" s="123" t="s">
        <v>51</v>
      </c>
      <c r="M14" s="123" t="s">
        <v>52</v>
      </c>
      <c r="N14" s="123" t="s">
        <v>53</v>
      </c>
      <c r="O14" s="123" t="s">
        <v>54</v>
      </c>
      <c r="P14" s="124" t="s">
        <v>55</v>
      </c>
      <c r="Q14" s="123" t="s">
        <v>10</v>
      </c>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row>
    <row r="15" spans="1:17" s="137" customFormat="1" ht="15" customHeight="1">
      <c r="A15" s="125" t="s">
        <v>75</v>
      </c>
      <c r="B15" s="176"/>
      <c r="C15" s="136">
        <f>SUM(C16:C40)</f>
        <v>296</v>
      </c>
      <c r="D15" s="136">
        <f>SUM(D16:D40)</f>
        <v>192</v>
      </c>
      <c r="E15" s="260">
        <f>SUM(E17:E40)</f>
        <v>0</v>
      </c>
      <c r="F15" s="260">
        <f>SUM(F17:F40)</f>
        <v>0</v>
      </c>
      <c r="G15" s="260">
        <f>SUM(G16:G40)</f>
        <v>22</v>
      </c>
      <c r="H15" s="261">
        <v>71</v>
      </c>
      <c r="I15" s="260">
        <v>25</v>
      </c>
      <c r="J15" s="260">
        <v>73</v>
      </c>
      <c r="K15" s="260">
        <v>1</v>
      </c>
      <c r="L15" s="260">
        <f>SUM(L16:L40)</f>
        <v>0</v>
      </c>
      <c r="M15" s="260">
        <v>6</v>
      </c>
      <c r="N15" s="260">
        <v>83</v>
      </c>
      <c r="O15" s="260">
        <v>2</v>
      </c>
      <c r="P15" s="260">
        <v>13</v>
      </c>
      <c r="Q15" s="260">
        <v>0</v>
      </c>
    </row>
    <row r="16" spans="1:17" s="137" customFormat="1" ht="15" customHeight="1">
      <c r="A16" s="125" t="s">
        <v>76</v>
      </c>
      <c r="B16" s="177"/>
      <c r="C16" s="136">
        <v>57</v>
      </c>
      <c r="D16" s="241">
        <v>37</v>
      </c>
      <c r="E16" s="285">
        <v>0</v>
      </c>
      <c r="F16" s="285">
        <v>0</v>
      </c>
      <c r="G16" s="285">
        <v>2</v>
      </c>
      <c r="H16" s="286">
        <v>12</v>
      </c>
      <c r="I16" s="285">
        <v>5</v>
      </c>
      <c r="J16" s="285">
        <v>18</v>
      </c>
      <c r="K16" s="285">
        <v>0</v>
      </c>
      <c r="L16" s="285">
        <v>0</v>
      </c>
      <c r="M16" s="285">
        <v>0</v>
      </c>
      <c r="N16" s="285">
        <v>18</v>
      </c>
      <c r="O16" s="285">
        <v>1</v>
      </c>
      <c r="P16" s="285">
        <v>1</v>
      </c>
      <c r="Q16" s="285">
        <v>0</v>
      </c>
    </row>
    <row r="17" spans="1:17" s="137" customFormat="1" ht="15" customHeight="1">
      <c r="A17" s="125" t="s">
        <v>77</v>
      </c>
      <c r="B17" s="177"/>
      <c r="C17" s="136">
        <v>2</v>
      </c>
      <c r="D17" s="241">
        <v>0</v>
      </c>
      <c r="E17" s="285">
        <v>0</v>
      </c>
      <c r="F17" s="285">
        <v>0</v>
      </c>
      <c r="G17" s="285">
        <v>0</v>
      </c>
      <c r="H17" s="286">
        <v>0</v>
      </c>
      <c r="I17" s="285">
        <v>0</v>
      </c>
      <c r="J17" s="285">
        <v>0</v>
      </c>
      <c r="K17" s="285">
        <v>0</v>
      </c>
      <c r="L17" s="285">
        <v>0</v>
      </c>
      <c r="M17" s="285">
        <v>0</v>
      </c>
      <c r="N17" s="285">
        <v>2</v>
      </c>
      <c r="O17" s="285">
        <v>0</v>
      </c>
      <c r="P17" s="285">
        <v>0</v>
      </c>
      <c r="Q17" s="285">
        <v>0</v>
      </c>
    </row>
    <row r="18" spans="1:32" s="137" customFormat="1" ht="15" customHeight="1">
      <c r="A18" s="125" t="s">
        <v>78</v>
      </c>
      <c r="B18" s="177"/>
      <c r="C18" s="136">
        <v>1</v>
      </c>
      <c r="D18" s="241">
        <v>1</v>
      </c>
      <c r="E18" s="285">
        <v>0</v>
      </c>
      <c r="F18" s="285">
        <v>0</v>
      </c>
      <c r="G18" s="285">
        <v>0</v>
      </c>
      <c r="H18" s="286">
        <v>0</v>
      </c>
      <c r="I18" s="285">
        <v>0</v>
      </c>
      <c r="J18" s="285">
        <v>1</v>
      </c>
      <c r="K18" s="285">
        <v>0</v>
      </c>
      <c r="L18" s="285">
        <v>0</v>
      </c>
      <c r="M18" s="285">
        <v>0</v>
      </c>
      <c r="N18" s="285">
        <v>0</v>
      </c>
      <c r="O18" s="285">
        <v>0</v>
      </c>
      <c r="P18" s="285">
        <v>0</v>
      </c>
      <c r="Q18" s="285">
        <v>0</v>
      </c>
      <c r="R18" s="136"/>
      <c r="S18" s="136"/>
      <c r="T18" s="255"/>
      <c r="U18" s="255"/>
      <c r="V18" s="255"/>
      <c r="W18" s="244"/>
      <c r="X18" s="241"/>
      <c r="Y18" s="241"/>
      <c r="Z18" s="243"/>
      <c r="AA18" s="243"/>
      <c r="AB18" s="243"/>
      <c r="AC18" s="243"/>
      <c r="AD18" s="243"/>
      <c r="AE18" s="243"/>
      <c r="AF18" s="243"/>
    </row>
    <row r="19" spans="1:17" s="137" customFormat="1" ht="15" customHeight="1">
      <c r="A19" s="125" t="s">
        <v>79</v>
      </c>
      <c r="B19" s="177"/>
      <c r="C19" s="136">
        <v>12</v>
      </c>
      <c r="D19" s="241">
        <v>4</v>
      </c>
      <c r="E19" s="285">
        <v>0</v>
      </c>
      <c r="F19" s="285">
        <v>0</v>
      </c>
      <c r="G19" s="285">
        <v>0</v>
      </c>
      <c r="H19" s="286">
        <v>0</v>
      </c>
      <c r="I19" s="285">
        <v>2</v>
      </c>
      <c r="J19" s="285">
        <v>2</v>
      </c>
      <c r="K19" s="285">
        <v>0</v>
      </c>
      <c r="L19" s="285">
        <v>0</v>
      </c>
      <c r="M19" s="285">
        <v>0</v>
      </c>
      <c r="N19" s="285">
        <v>8</v>
      </c>
      <c r="O19" s="285">
        <v>0</v>
      </c>
      <c r="P19" s="285">
        <v>0</v>
      </c>
      <c r="Q19" s="285">
        <v>0</v>
      </c>
    </row>
    <row r="20" spans="1:17" s="137" customFormat="1" ht="15" customHeight="1">
      <c r="A20" s="125" t="s">
        <v>80</v>
      </c>
      <c r="B20" s="177"/>
      <c r="C20" s="136">
        <v>6</v>
      </c>
      <c r="D20" s="241">
        <v>5</v>
      </c>
      <c r="E20" s="285">
        <v>0</v>
      </c>
      <c r="F20" s="285">
        <v>0</v>
      </c>
      <c r="G20" s="285">
        <v>1</v>
      </c>
      <c r="H20" s="286">
        <v>0</v>
      </c>
      <c r="I20" s="285">
        <v>2</v>
      </c>
      <c r="J20" s="285">
        <v>2</v>
      </c>
      <c r="K20" s="285">
        <v>0</v>
      </c>
      <c r="L20" s="285">
        <v>0</v>
      </c>
      <c r="M20" s="285">
        <v>0</v>
      </c>
      <c r="N20" s="285">
        <v>0</v>
      </c>
      <c r="O20" s="285">
        <v>1</v>
      </c>
      <c r="P20" s="285">
        <v>0</v>
      </c>
      <c r="Q20" s="285">
        <v>0</v>
      </c>
    </row>
    <row r="21" spans="1:17" s="137" customFormat="1" ht="15" customHeight="1">
      <c r="A21" s="125" t="s">
        <v>81</v>
      </c>
      <c r="B21" s="177"/>
      <c r="C21" s="136">
        <v>3</v>
      </c>
      <c r="D21" s="241">
        <v>0</v>
      </c>
      <c r="E21" s="285">
        <v>0</v>
      </c>
      <c r="F21" s="285">
        <v>0</v>
      </c>
      <c r="G21" s="285">
        <v>0</v>
      </c>
      <c r="H21" s="286">
        <v>0</v>
      </c>
      <c r="I21" s="285">
        <v>0</v>
      </c>
      <c r="J21" s="285">
        <v>0</v>
      </c>
      <c r="K21" s="285">
        <v>0</v>
      </c>
      <c r="L21" s="285">
        <v>0</v>
      </c>
      <c r="M21" s="285">
        <v>0</v>
      </c>
      <c r="N21" s="285">
        <v>3</v>
      </c>
      <c r="O21" s="285">
        <v>0</v>
      </c>
      <c r="P21" s="285">
        <v>0</v>
      </c>
      <c r="Q21" s="285">
        <v>0</v>
      </c>
    </row>
    <row r="22" spans="1:17" s="137" customFormat="1" ht="16.5" customHeight="1">
      <c r="A22" s="125" t="s">
        <v>82</v>
      </c>
      <c r="B22" s="177"/>
      <c r="C22" s="136">
        <v>3</v>
      </c>
      <c r="D22" s="241">
        <v>0</v>
      </c>
      <c r="E22" s="285">
        <v>0</v>
      </c>
      <c r="F22" s="285">
        <v>0</v>
      </c>
      <c r="G22" s="285">
        <v>0</v>
      </c>
      <c r="H22" s="286">
        <v>0</v>
      </c>
      <c r="I22" s="285">
        <v>0</v>
      </c>
      <c r="J22" s="285">
        <v>0</v>
      </c>
      <c r="K22" s="285">
        <v>0</v>
      </c>
      <c r="L22" s="285">
        <v>0</v>
      </c>
      <c r="M22" s="285">
        <v>0</v>
      </c>
      <c r="N22" s="285">
        <v>0</v>
      </c>
      <c r="O22" s="285">
        <v>0</v>
      </c>
      <c r="P22" s="285">
        <v>3</v>
      </c>
      <c r="Q22" s="285">
        <v>0</v>
      </c>
    </row>
    <row r="23" spans="1:17" s="137" customFormat="1" ht="15" customHeight="1">
      <c r="A23" s="125" t="s">
        <v>119</v>
      </c>
      <c r="B23" s="177"/>
      <c r="C23" s="136">
        <v>17</v>
      </c>
      <c r="D23" s="241">
        <v>11</v>
      </c>
      <c r="E23" s="285">
        <v>0</v>
      </c>
      <c r="F23" s="285">
        <v>0</v>
      </c>
      <c r="G23" s="285">
        <v>2</v>
      </c>
      <c r="H23" s="286">
        <v>4</v>
      </c>
      <c r="I23" s="285">
        <v>4</v>
      </c>
      <c r="J23" s="285">
        <v>1</v>
      </c>
      <c r="K23" s="285">
        <v>0</v>
      </c>
      <c r="L23" s="285">
        <v>0</v>
      </c>
      <c r="M23" s="285">
        <v>0</v>
      </c>
      <c r="N23" s="285">
        <v>1</v>
      </c>
      <c r="O23" s="285">
        <v>0</v>
      </c>
      <c r="P23" s="285">
        <v>5</v>
      </c>
      <c r="Q23" s="285">
        <v>0</v>
      </c>
    </row>
    <row r="24" spans="1:17" s="137" customFormat="1" ht="15" customHeight="1">
      <c r="A24" s="125" t="s">
        <v>83</v>
      </c>
      <c r="B24" s="177"/>
      <c r="C24" s="136">
        <v>66</v>
      </c>
      <c r="D24" s="241">
        <v>54</v>
      </c>
      <c r="E24" s="285">
        <v>0</v>
      </c>
      <c r="F24" s="285">
        <v>0</v>
      </c>
      <c r="G24" s="285">
        <v>14</v>
      </c>
      <c r="H24" s="286">
        <v>17</v>
      </c>
      <c r="I24" s="285">
        <v>2</v>
      </c>
      <c r="J24" s="285">
        <v>20</v>
      </c>
      <c r="K24" s="285">
        <v>1</v>
      </c>
      <c r="L24" s="285">
        <v>0</v>
      </c>
      <c r="M24" s="285">
        <v>0</v>
      </c>
      <c r="N24" s="285">
        <v>11</v>
      </c>
      <c r="O24" s="285">
        <v>0</v>
      </c>
      <c r="P24" s="285">
        <v>1</v>
      </c>
      <c r="Q24" s="285">
        <v>0</v>
      </c>
    </row>
    <row r="25" spans="1:17" s="137" customFormat="1" ht="15" customHeight="1">
      <c r="A25" s="125" t="s">
        <v>84</v>
      </c>
      <c r="B25" s="177"/>
      <c r="C25" s="136">
        <v>2</v>
      </c>
      <c r="D25" s="241">
        <v>1</v>
      </c>
      <c r="E25" s="285">
        <v>0</v>
      </c>
      <c r="F25" s="285">
        <v>0</v>
      </c>
      <c r="G25" s="285">
        <v>0</v>
      </c>
      <c r="H25" s="286">
        <v>0</v>
      </c>
      <c r="I25" s="285">
        <v>0</v>
      </c>
      <c r="J25" s="285">
        <v>1</v>
      </c>
      <c r="K25" s="285">
        <v>0</v>
      </c>
      <c r="L25" s="285">
        <v>0</v>
      </c>
      <c r="M25" s="285">
        <v>0</v>
      </c>
      <c r="N25" s="285">
        <v>1</v>
      </c>
      <c r="O25" s="285">
        <v>0</v>
      </c>
      <c r="P25" s="285">
        <v>0</v>
      </c>
      <c r="Q25" s="285">
        <v>0</v>
      </c>
    </row>
    <row r="26" spans="1:17" s="137" customFormat="1" ht="15" customHeight="1">
      <c r="A26" s="125" t="s">
        <v>85</v>
      </c>
      <c r="B26" s="177"/>
      <c r="C26" s="136">
        <v>0</v>
      </c>
      <c r="D26" s="241">
        <v>0</v>
      </c>
      <c r="E26" s="285">
        <v>0</v>
      </c>
      <c r="F26" s="285">
        <v>0</v>
      </c>
      <c r="G26" s="285">
        <v>0</v>
      </c>
      <c r="H26" s="286">
        <v>0</v>
      </c>
      <c r="I26" s="285">
        <v>0</v>
      </c>
      <c r="J26" s="285">
        <v>0</v>
      </c>
      <c r="K26" s="285">
        <v>0</v>
      </c>
      <c r="L26" s="285">
        <v>0</v>
      </c>
      <c r="M26" s="285">
        <v>0</v>
      </c>
      <c r="N26" s="285">
        <v>0</v>
      </c>
      <c r="O26" s="285">
        <v>0</v>
      </c>
      <c r="P26" s="285">
        <v>0</v>
      </c>
      <c r="Q26" s="285">
        <v>0</v>
      </c>
    </row>
    <row r="27" spans="1:17" s="137" customFormat="1" ht="15" customHeight="1">
      <c r="A27" s="125" t="s">
        <v>86</v>
      </c>
      <c r="B27" s="177"/>
      <c r="C27" s="136">
        <v>30</v>
      </c>
      <c r="D27" s="241">
        <v>16</v>
      </c>
      <c r="E27" s="285">
        <v>0</v>
      </c>
      <c r="F27" s="285">
        <v>0</v>
      </c>
      <c r="G27" s="285">
        <v>1</v>
      </c>
      <c r="H27" s="286">
        <v>5</v>
      </c>
      <c r="I27" s="285">
        <v>4</v>
      </c>
      <c r="J27" s="285">
        <v>6</v>
      </c>
      <c r="K27" s="285">
        <v>0</v>
      </c>
      <c r="L27" s="285">
        <v>0</v>
      </c>
      <c r="M27" s="285">
        <v>0</v>
      </c>
      <c r="N27" s="285">
        <v>14</v>
      </c>
      <c r="O27" s="285">
        <v>0</v>
      </c>
      <c r="P27" s="285">
        <v>0</v>
      </c>
      <c r="Q27" s="285">
        <v>0</v>
      </c>
    </row>
    <row r="28" spans="1:17" s="137" customFormat="1" ht="15" customHeight="1">
      <c r="A28" s="125" t="s">
        <v>87</v>
      </c>
      <c r="B28" s="177"/>
      <c r="C28" s="136">
        <v>1</v>
      </c>
      <c r="D28" s="241">
        <v>1</v>
      </c>
      <c r="E28" s="285">
        <v>0</v>
      </c>
      <c r="F28" s="285">
        <v>0</v>
      </c>
      <c r="G28" s="285">
        <v>0</v>
      </c>
      <c r="H28" s="286">
        <v>1</v>
      </c>
      <c r="I28" s="285">
        <v>0</v>
      </c>
      <c r="J28" s="285">
        <v>0</v>
      </c>
      <c r="K28" s="285">
        <v>0</v>
      </c>
      <c r="L28" s="285">
        <v>0</v>
      </c>
      <c r="M28" s="285">
        <v>0</v>
      </c>
      <c r="N28" s="285">
        <v>0</v>
      </c>
      <c r="O28" s="285">
        <v>0</v>
      </c>
      <c r="P28" s="285">
        <v>0</v>
      </c>
      <c r="Q28" s="285">
        <v>0</v>
      </c>
    </row>
    <row r="29" spans="1:17" s="137" customFormat="1" ht="15" customHeight="1">
      <c r="A29" s="125" t="s">
        <v>88</v>
      </c>
      <c r="B29" s="177"/>
      <c r="C29" s="136">
        <v>5</v>
      </c>
      <c r="D29" s="241">
        <v>2</v>
      </c>
      <c r="E29" s="285">
        <v>0</v>
      </c>
      <c r="F29" s="285">
        <v>0</v>
      </c>
      <c r="G29" s="285">
        <v>0</v>
      </c>
      <c r="H29" s="286">
        <v>1</v>
      </c>
      <c r="I29" s="285">
        <v>0</v>
      </c>
      <c r="J29" s="285">
        <v>1</v>
      </c>
      <c r="K29" s="285">
        <v>0</v>
      </c>
      <c r="L29" s="285">
        <v>0</v>
      </c>
      <c r="M29" s="285">
        <v>0</v>
      </c>
      <c r="N29" s="285">
        <v>3</v>
      </c>
      <c r="O29" s="285">
        <v>0</v>
      </c>
      <c r="P29" s="285">
        <v>0</v>
      </c>
      <c r="Q29" s="285">
        <v>0</v>
      </c>
    </row>
    <row r="30" spans="1:17" s="137" customFormat="1" ht="15" customHeight="1">
      <c r="A30" s="125" t="s">
        <v>89</v>
      </c>
      <c r="B30" s="177"/>
      <c r="C30" s="136">
        <v>1</v>
      </c>
      <c r="D30" s="241">
        <v>0</v>
      </c>
      <c r="E30" s="285">
        <v>0</v>
      </c>
      <c r="F30" s="285">
        <v>0</v>
      </c>
      <c r="G30" s="285">
        <v>0</v>
      </c>
      <c r="H30" s="285">
        <v>0</v>
      </c>
      <c r="I30" s="285">
        <v>0</v>
      </c>
      <c r="J30" s="285">
        <v>0</v>
      </c>
      <c r="K30" s="285">
        <v>0</v>
      </c>
      <c r="L30" s="285">
        <v>0</v>
      </c>
      <c r="M30" s="285">
        <v>0</v>
      </c>
      <c r="N30" s="285">
        <v>0</v>
      </c>
      <c r="O30" s="285">
        <v>0</v>
      </c>
      <c r="P30" s="285">
        <v>1</v>
      </c>
      <c r="Q30" s="285">
        <v>0</v>
      </c>
    </row>
    <row r="31" spans="1:17" s="137" customFormat="1" ht="15" customHeight="1">
      <c r="A31" s="125" t="s">
        <v>90</v>
      </c>
      <c r="B31" s="177"/>
      <c r="C31" s="136">
        <v>2</v>
      </c>
      <c r="D31" s="241">
        <v>1</v>
      </c>
      <c r="E31" s="285">
        <v>0</v>
      </c>
      <c r="F31" s="285">
        <v>0</v>
      </c>
      <c r="G31" s="285">
        <v>0</v>
      </c>
      <c r="H31" s="286">
        <v>1</v>
      </c>
      <c r="I31" s="285">
        <v>0</v>
      </c>
      <c r="J31" s="285">
        <v>0</v>
      </c>
      <c r="K31" s="285">
        <v>0</v>
      </c>
      <c r="L31" s="285">
        <v>0</v>
      </c>
      <c r="M31" s="285">
        <v>0</v>
      </c>
      <c r="N31" s="285">
        <v>1</v>
      </c>
      <c r="O31" s="285">
        <v>0</v>
      </c>
      <c r="P31" s="285">
        <v>0</v>
      </c>
      <c r="Q31" s="285">
        <v>0</v>
      </c>
    </row>
    <row r="32" spans="1:17" s="138" customFormat="1" ht="15" customHeight="1">
      <c r="A32" s="408" t="s">
        <v>91</v>
      </c>
      <c r="B32" s="409"/>
      <c r="C32" s="410">
        <v>18</v>
      </c>
      <c r="D32" s="411">
        <v>12</v>
      </c>
      <c r="E32" s="412">
        <v>0</v>
      </c>
      <c r="F32" s="412">
        <v>0</v>
      </c>
      <c r="G32" s="412">
        <v>0</v>
      </c>
      <c r="H32" s="412">
        <v>7</v>
      </c>
      <c r="I32" s="412">
        <v>2</v>
      </c>
      <c r="J32" s="412">
        <v>3</v>
      </c>
      <c r="K32" s="412">
        <v>0</v>
      </c>
      <c r="L32" s="412">
        <v>0</v>
      </c>
      <c r="M32" s="412">
        <v>5</v>
      </c>
      <c r="N32" s="412">
        <v>1</v>
      </c>
      <c r="O32" s="412">
        <v>0</v>
      </c>
      <c r="P32" s="412">
        <v>0</v>
      </c>
      <c r="Q32" s="412">
        <v>0</v>
      </c>
    </row>
    <row r="33" spans="1:17" s="138" customFormat="1" ht="15" customHeight="1">
      <c r="A33" s="178" t="s">
        <v>114</v>
      </c>
      <c r="B33" s="179"/>
      <c r="C33" s="136">
        <v>0</v>
      </c>
      <c r="D33" s="241">
        <v>0</v>
      </c>
      <c r="E33" s="285">
        <v>0</v>
      </c>
      <c r="F33" s="285">
        <v>0</v>
      </c>
      <c r="G33" s="285">
        <v>0</v>
      </c>
      <c r="H33" s="286">
        <v>0</v>
      </c>
      <c r="I33" s="285">
        <v>0</v>
      </c>
      <c r="J33" s="285">
        <v>0</v>
      </c>
      <c r="K33" s="285">
        <v>0</v>
      </c>
      <c r="L33" s="285">
        <v>0</v>
      </c>
      <c r="M33" s="285">
        <v>0</v>
      </c>
      <c r="N33" s="285">
        <v>0</v>
      </c>
      <c r="O33" s="285">
        <v>0</v>
      </c>
      <c r="P33" s="285">
        <v>0</v>
      </c>
      <c r="Q33" s="285">
        <v>0</v>
      </c>
    </row>
    <row r="34" spans="1:17" s="138" customFormat="1" ht="15" customHeight="1">
      <c r="A34" s="178" t="s">
        <v>115</v>
      </c>
      <c r="B34" s="179"/>
      <c r="C34" s="136">
        <v>5</v>
      </c>
      <c r="D34" s="241">
        <v>4</v>
      </c>
      <c r="E34" s="285">
        <v>0</v>
      </c>
      <c r="F34" s="285">
        <v>0</v>
      </c>
      <c r="G34" s="285">
        <v>0</v>
      </c>
      <c r="H34" s="286">
        <v>2</v>
      </c>
      <c r="I34" s="285">
        <v>0</v>
      </c>
      <c r="J34" s="285">
        <v>2</v>
      </c>
      <c r="K34" s="285">
        <v>0</v>
      </c>
      <c r="L34" s="285">
        <v>0</v>
      </c>
      <c r="M34" s="285">
        <v>0</v>
      </c>
      <c r="N34" s="285">
        <v>0</v>
      </c>
      <c r="O34" s="285">
        <v>0</v>
      </c>
      <c r="P34" s="285">
        <v>1</v>
      </c>
      <c r="Q34" s="285">
        <v>0</v>
      </c>
    </row>
    <row r="35" spans="1:17" s="138" customFormat="1" ht="15" customHeight="1">
      <c r="A35" s="178" t="s">
        <v>116</v>
      </c>
      <c r="B35" s="179"/>
      <c r="C35" s="136">
        <v>6</v>
      </c>
      <c r="D35" s="241">
        <v>5</v>
      </c>
      <c r="E35" s="285">
        <v>0</v>
      </c>
      <c r="F35" s="285">
        <v>0</v>
      </c>
      <c r="G35" s="285">
        <v>0</v>
      </c>
      <c r="H35" s="286">
        <v>2</v>
      </c>
      <c r="I35" s="285">
        <v>1</v>
      </c>
      <c r="J35" s="285">
        <v>2</v>
      </c>
      <c r="K35" s="285">
        <v>0</v>
      </c>
      <c r="L35" s="285">
        <v>0</v>
      </c>
      <c r="M35" s="285">
        <v>0</v>
      </c>
      <c r="N35" s="285">
        <v>1</v>
      </c>
      <c r="O35" s="285">
        <v>0</v>
      </c>
      <c r="P35" s="285">
        <v>0</v>
      </c>
      <c r="Q35" s="285">
        <v>0</v>
      </c>
    </row>
    <row r="36" spans="1:17" s="138" customFormat="1" ht="15" customHeight="1">
      <c r="A36" s="178" t="s">
        <v>117</v>
      </c>
      <c r="B36" s="179"/>
      <c r="C36" s="136">
        <v>3</v>
      </c>
      <c r="D36" s="241">
        <v>3</v>
      </c>
      <c r="E36" s="285">
        <v>0</v>
      </c>
      <c r="F36" s="285">
        <v>0</v>
      </c>
      <c r="G36" s="285">
        <v>0</v>
      </c>
      <c r="H36" s="286">
        <v>3</v>
      </c>
      <c r="I36" s="285">
        <v>0</v>
      </c>
      <c r="J36" s="285">
        <v>0</v>
      </c>
      <c r="K36" s="285">
        <v>0</v>
      </c>
      <c r="L36" s="285">
        <v>0</v>
      </c>
      <c r="M36" s="285">
        <v>0</v>
      </c>
      <c r="N36" s="285">
        <v>0</v>
      </c>
      <c r="O36" s="285">
        <v>0</v>
      </c>
      <c r="P36" s="285">
        <v>0</v>
      </c>
      <c r="Q36" s="285">
        <v>0</v>
      </c>
    </row>
    <row r="37" spans="1:17" s="138" customFormat="1" ht="15" customHeight="1">
      <c r="A37" s="178" t="s">
        <v>118</v>
      </c>
      <c r="B37" s="179"/>
      <c r="C37" s="136">
        <v>9</v>
      </c>
      <c r="D37" s="241">
        <v>1</v>
      </c>
      <c r="E37" s="285">
        <v>0</v>
      </c>
      <c r="F37" s="285">
        <v>0</v>
      </c>
      <c r="G37" s="285">
        <v>0</v>
      </c>
      <c r="H37" s="285">
        <v>1</v>
      </c>
      <c r="I37" s="285">
        <v>0</v>
      </c>
      <c r="J37" s="285">
        <v>0</v>
      </c>
      <c r="K37" s="285">
        <v>0</v>
      </c>
      <c r="L37" s="285">
        <v>0</v>
      </c>
      <c r="M37" s="285">
        <v>0</v>
      </c>
      <c r="N37" s="285">
        <v>8</v>
      </c>
      <c r="O37" s="285">
        <v>0</v>
      </c>
      <c r="P37" s="285">
        <v>0</v>
      </c>
      <c r="Q37" s="285">
        <v>0</v>
      </c>
    </row>
    <row r="38" spans="1:17" s="137" customFormat="1" ht="15" customHeight="1">
      <c r="A38" s="125" t="s">
        <v>92</v>
      </c>
      <c r="B38" s="177"/>
      <c r="C38" s="136">
        <v>18</v>
      </c>
      <c r="D38" s="241">
        <v>11</v>
      </c>
      <c r="E38" s="285">
        <v>0</v>
      </c>
      <c r="F38" s="285">
        <v>0</v>
      </c>
      <c r="G38" s="285">
        <v>1</v>
      </c>
      <c r="H38" s="286">
        <v>3</v>
      </c>
      <c r="I38" s="285">
        <v>2</v>
      </c>
      <c r="J38" s="285">
        <v>5</v>
      </c>
      <c r="K38" s="285">
        <v>0</v>
      </c>
      <c r="L38" s="285">
        <v>0</v>
      </c>
      <c r="M38" s="285">
        <v>0</v>
      </c>
      <c r="N38" s="285">
        <v>6</v>
      </c>
      <c r="O38" s="285">
        <v>0</v>
      </c>
      <c r="P38" s="285">
        <v>1</v>
      </c>
      <c r="Q38" s="285">
        <v>0</v>
      </c>
    </row>
    <row r="39" spans="1:17" s="137" customFormat="1" ht="15" customHeight="1">
      <c r="A39" s="125" t="s">
        <v>324</v>
      </c>
      <c r="B39" s="177"/>
      <c r="C39" s="136">
        <v>12</v>
      </c>
      <c r="D39" s="241">
        <v>10</v>
      </c>
      <c r="E39" s="285">
        <v>0</v>
      </c>
      <c r="F39" s="285">
        <v>0</v>
      </c>
      <c r="G39" s="285">
        <v>1</v>
      </c>
      <c r="H39" s="286">
        <v>3</v>
      </c>
      <c r="I39" s="285">
        <v>0</v>
      </c>
      <c r="J39" s="285">
        <v>6</v>
      </c>
      <c r="K39" s="285">
        <v>0</v>
      </c>
      <c r="L39" s="285">
        <v>0</v>
      </c>
      <c r="M39" s="285">
        <v>1</v>
      </c>
      <c r="N39" s="285">
        <v>1</v>
      </c>
      <c r="O39" s="285">
        <v>0</v>
      </c>
      <c r="P39" s="285">
        <v>0</v>
      </c>
      <c r="Q39" s="285">
        <v>0</v>
      </c>
    </row>
    <row r="40" spans="1:17" s="137" customFormat="1" ht="15" customHeight="1" thickBot="1">
      <c r="A40" s="125" t="s">
        <v>93</v>
      </c>
      <c r="B40" s="177"/>
      <c r="C40" s="136">
        <v>17</v>
      </c>
      <c r="D40" s="241">
        <v>13</v>
      </c>
      <c r="E40" s="285">
        <v>0</v>
      </c>
      <c r="F40" s="285">
        <v>0</v>
      </c>
      <c r="G40" s="285">
        <v>0</v>
      </c>
      <c r="H40" s="286">
        <v>9</v>
      </c>
      <c r="I40" s="285">
        <v>1</v>
      </c>
      <c r="J40" s="285">
        <v>3</v>
      </c>
      <c r="K40" s="285">
        <v>0</v>
      </c>
      <c r="L40" s="285">
        <v>0</v>
      </c>
      <c r="M40" s="285">
        <v>0</v>
      </c>
      <c r="N40" s="285">
        <v>4</v>
      </c>
      <c r="O40" s="285">
        <v>0</v>
      </c>
      <c r="P40" s="285">
        <v>0</v>
      </c>
      <c r="Q40" s="285">
        <v>0</v>
      </c>
    </row>
    <row r="41" spans="1:17" s="139" customFormat="1" ht="9.75" customHeight="1">
      <c r="A41" s="262" t="s">
        <v>270</v>
      </c>
      <c r="B41" s="263"/>
      <c r="C41" s="264"/>
      <c r="D41" s="264"/>
      <c r="E41" s="265"/>
      <c r="F41" s="265"/>
      <c r="G41" s="265"/>
      <c r="H41" s="266"/>
      <c r="I41" s="265"/>
      <c r="J41" s="265"/>
      <c r="K41" s="265"/>
      <c r="L41" s="265"/>
      <c r="M41" s="265"/>
      <c r="N41" s="265"/>
      <c r="O41" s="265"/>
      <c r="P41" s="265"/>
      <c r="Q41" s="265"/>
    </row>
    <row r="42" spans="2:17" ht="16.5">
      <c r="B42" s="129"/>
      <c r="C42" s="141"/>
      <c r="D42" s="141"/>
      <c r="E42" s="141"/>
      <c r="F42" s="141"/>
      <c r="G42" s="142"/>
      <c r="H42" s="142"/>
      <c r="I42" s="141"/>
      <c r="J42" s="141"/>
      <c r="K42" s="142"/>
      <c r="L42" s="142"/>
      <c r="M42" s="142"/>
      <c r="N42" s="142"/>
      <c r="O42" s="141"/>
      <c r="P42" s="142"/>
      <c r="Q42" s="142"/>
    </row>
    <row r="43" spans="2:17" ht="16.5" hidden="1">
      <c r="B43" s="129"/>
      <c r="C43" s="141"/>
      <c r="D43" s="141"/>
      <c r="E43" s="141"/>
      <c r="F43" s="141"/>
      <c r="G43" s="142"/>
      <c r="H43" s="142"/>
      <c r="I43" s="141"/>
      <c r="J43" s="141"/>
      <c r="K43" s="142"/>
      <c r="L43" s="142"/>
      <c r="M43" s="142"/>
      <c r="N43" s="142"/>
      <c r="O43" s="141"/>
      <c r="P43" s="142"/>
      <c r="Q43" s="142"/>
    </row>
    <row r="64" ht="16.5" hidden="1"/>
    <row r="77" ht="16.5">
      <c r="I77" s="131">
        <v>0</v>
      </c>
    </row>
    <row r="85" ht="16.5" hidden="1"/>
    <row r="97" ht="16.5">
      <c r="I97" s="131">
        <v>0</v>
      </c>
    </row>
    <row r="106" ht="0.75" customHeight="1"/>
    <row r="111" ht="16.5">
      <c r="B111" s="131" t="s">
        <v>359</v>
      </c>
    </row>
  </sheetData>
  <sheetProtection/>
  <printOptions horizontalCentered="1"/>
  <pageMargins left="0.25" right="0.25" top="0.28" bottom="0.26" header="0.3" footer="0.3"/>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Q144"/>
  <sheetViews>
    <sheetView view="pageBreakPreview" zoomScaleSheetLayoutView="100" zoomScalePageLayoutView="0" workbookViewId="0" topLeftCell="A1">
      <pane xSplit="2" ySplit="5" topLeftCell="C24" activePane="bottomRight" state="frozen"/>
      <selection pane="topLeft" activeCell="B26" sqref="B26:B27"/>
      <selection pane="topRight" activeCell="B26" sqref="B26:B27"/>
      <selection pane="bottomLeft" activeCell="B26" sqref="B26:B27"/>
      <selection pane="bottomRight" activeCell="M107" sqref="M107"/>
    </sheetView>
  </sheetViews>
  <sheetFormatPr defaultColWidth="9.00390625" defaultRowHeight="16.5"/>
  <cols>
    <col min="1" max="1" width="5.625" style="41" customWidth="1"/>
    <col min="2" max="2" width="20.625" style="41" customWidth="1"/>
    <col min="3" max="11" width="10.50390625" style="41" customWidth="1"/>
    <col min="12" max="12" width="9.625" style="41" customWidth="1"/>
    <col min="13" max="13" width="11.625" style="102" customWidth="1"/>
    <col min="14" max="16384" width="9.00390625" style="41" customWidth="1"/>
  </cols>
  <sheetData>
    <row r="1" spans="1:17" ht="18" customHeight="1">
      <c r="A1" s="144" t="s">
        <v>286</v>
      </c>
      <c r="B1" s="72"/>
      <c r="C1" s="72"/>
      <c r="D1" s="73"/>
      <c r="E1" s="73"/>
      <c r="F1" s="72"/>
      <c r="G1" s="72"/>
      <c r="H1" s="71"/>
      <c r="I1" s="72"/>
      <c r="J1" s="72"/>
      <c r="K1" s="72"/>
      <c r="L1" s="72"/>
      <c r="M1" s="74"/>
      <c r="N1" s="75"/>
      <c r="O1" s="180"/>
      <c r="P1" s="180"/>
      <c r="Q1" s="180"/>
    </row>
    <row r="2" spans="1:16" ht="9" customHeight="1">
      <c r="A2" s="76"/>
      <c r="B2" s="76"/>
      <c r="C2" s="76"/>
      <c r="D2" s="76"/>
      <c r="E2" s="76"/>
      <c r="F2" s="76"/>
      <c r="G2" s="76"/>
      <c r="H2" s="76"/>
      <c r="I2" s="76"/>
      <c r="J2" s="76"/>
      <c r="K2" s="76"/>
      <c r="L2" s="76"/>
      <c r="M2" s="77"/>
      <c r="O2" s="35"/>
      <c r="P2" s="35"/>
    </row>
    <row r="3" spans="1:17" ht="12" customHeight="1" thickBot="1">
      <c r="A3" s="76"/>
      <c r="B3" s="78"/>
      <c r="C3" s="78"/>
      <c r="D3" s="78"/>
      <c r="E3" s="78"/>
      <c r="F3" s="78"/>
      <c r="G3" s="78"/>
      <c r="H3" s="78"/>
      <c r="I3" s="78"/>
      <c r="J3" s="78"/>
      <c r="K3" s="78"/>
      <c r="L3" s="78"/>
      <c r="M3" s="173" t="s">
        <v>120</v>
      </c>
      <c r="N3" s="180"/>
      <c r="O3" s="180"/>
      <c r="P3" s="180"/>
      <c r="Q3" s="180"/>
    </row>
    <row r="4" spans="1:13" s="32" customFormat="1" ht="13.5" customHeight="1">
      <c r="A4" s="426"/>
      <c r="B4" s="427"/>
      <c r="C4" s="79" t="s">
        <v>128</v>
      </c>
      <c r="D4" s="79"/>
      <c r="E4" s="79"/>
      <c r="F4" s="79"/>
      <c r="G4" s="80"/>
      <c r="H4" s="79" t="s">
        <v>129</v>
      </c>
      <c r="I4" s="79"/>
      <c r="J4" s="79"/>
      <c r="K4" s="79"/>
      <c r="L4" s="79"/>
      <c r="M4" s="81" t="s">
        <v>130</v>
      </c>
    </row>
    <row r="5" spans="1:13" s="32" customFormat="1" ht="13.5" customHeight="1" thickBot="1">
      <c r="A5" s="436"/>
      <c r="B5" s="429"/>
      <c r="C5" s="82" t="s">
        <v>131</v>
      </c>
      <c r="D5" s="83" t="s">
        <v>132</v>
      </c>
      <c r="E5" s="83" t="s">
        <v>121</v>
      </c>
      <c r="F5" s="83" t="s">
        <v>133</v>
      </c>
      <c r="G5" s="84" t="s">
        <v>134</v>
      </c>
      <c r="H5" s="82" t="s">
        <v>122</v>
      </c>
      <c r="I5" s="83" t="s">
        <v>123</v>
      </c>
      <c r="J5" s="83" t="s">
        <v>121</v>
      </c>
      <c r="K5" s="83" t="s">
        <v>133</v>
      </c>
      <c r="L5" s="83" t="s">
        <v>134</v>
      </c>
      <c r="M5" s="181" t="s">
        <v>124</v>
      </c>
    </row>
    <row r="6" spans="1:17" s="22" customFormat="1" ht="11.25" customHeight="1">
      <c r="A6" s="437" t="s">
        <v>189</v>
      </c>
      <c r="B6" s="100" t="s">
        <v>142</v>
      </c>
      <c r="C6" s="91"/>
      <c r="D6" s="93"/>
      <c r="E6" s="93"/>
      <c r="F6" s="93"/>
      <c r="G6" s="93"/>
      <c r="H6" s="93"/>
      <c r="I6" s="93"/>
      <c r="J6" s="93"/>
      <c r="K6" s="93"/>
      <c r="L6" s="93"/>
      <c r="M6" s="250"/>
      <c r="O6" s="89"/>
      <c r="P6" s="90"/>
      <c r="Q6" s="90"/>
    </row>
    <row r="7" spans="1:17" s="22" customFormat="1" ht="12" customHeight="1" hidden="1">
      <c r="A7" s="437"/>
      <c r="B7" s="96" t="s">
        <v>183</v>
      </c>
      <c r="C7" s="91">
        <v>0</v>
      </c>
      <c r="D7" s="93">
        <v>0</v>
      </c>
      <c r="E7" s="93" t="s">
        <v>126</v>
      </c>
      <c r="F7" s="93" t="s">
        <v>143</v>
      </c>
      <c r="G7" s="93" t="s">
        <v>143</v>
      </c>
      <c r="H7" s="93">
        <v>0</v>
      </c>
      <c r="I7" s="93">
        <v>0</v>
      </c>
      <c r="J7" s="93" t="s">
        <v>126</v>
      </c>
      <c r="K7" s="93" t="s">
        <v>143</v>
      </c>
      <c r="L7" s="93" t="s">
        <v>143</v>
      </c>
      <c r="M7" s="250">
        <v>0</v>
      </c>
      <c r="O7" s="89"/>
      <c r="P7" s="90"/>
      <c r="Q7" s="90"/>
    </row>
    <row r="8" spans="1:17" s="22" customFormat="1" ht="12" customHeight="1" hidden="1">
      <c r="A8" s="437"/>
      <c r="B8" s="96" t="s">
        <v>182</v>
      </c>
      <c r="C8" s="97">
        <v>0</v>
      </c>
      <c r="D8" s="97">
        <v>0</v>
      </c>
      <c r="E8" s="97">
        <v>0</v>
      </c>
      <c r="F8" s="97">
        <v>0</v>
      </c>
      <c r="G8" s="97">
        <v>0</v>
      </c>
      <c r="H8" s="97">
        <v>0</v>
      </c>
      <c r="I8" s="97">
        <v>0</v>
      </c>
      <c r="J8" s="97">
        <v>0</v>
      </c>
      <c r="K8" s="97">
        <v>0</v>
      </c>
      <c r="L8" s="97">
        <v>0</v>
      </c>
      <c r="M8" s="250">
        <v>0</v>
      </c>
      <c r="O8" s="89"/>
      <c r="P8" s="90"/>
      <c r="Q8" s="90"/>
    </row>
    <row r="9" spans="1:17" s="22" customFormat="1" ht="12" customHeight="1" hidden="1">
      <c r="A9" s="437"/>
      <c r="B9" s="96" t="s">
        <v>184</v>
      </c>
      <c r="C9" s="97">
        <v>0</v>
      </c>
      <c r="D9" s="97">
        <v>0</v>
      </c>
      <c r="E9" s="97">
        <v>0</v>
      </c>
      <c r="F9" s="97">
        <v>0</v>
      </c>
      <c r="G9" s="97">
        <v>0</v>
      </c>
      <c r="H9" s="97">
        <v>0</v>
      </c>
      <c r="I9" s="97">
        <v>0</v>
      </c>
      <c r="J9" s="97">
        <v>0</v>
      </c>
      <c r="K9" s="97">
        <v>0</v>
      </c>
      <c r="L9" s="97">
        <v>0</v>
      </c>
      <c r="M9" s="250">
        <v>0</v>
      </c>
      <c r="O9" s="89"/>
      <c r="P9" s="90"/>
      <c r="Q9" s="90"/>
    </row>
    <row r="10" spans="1:17" s="22" customFormat="1" ht="12" customHeight="1" hidden="1">
      <c r="A10" s="437"/>
      <c r="B10" s="96" t="s">
        <v>185</v>
      </c>
      <c r="C10" s="97">
        <v>0</v>
      </c>
      <c r="D10" s="97">
        <v>0</v>
      </c>
      <c r="E10" s="97">
        <v>0</v>
      </c>
      <c r="F10" s="97">
        <v>0</v>
      </c>
      <c r="G10" s="97">
        <v>0</v>
      </c>
      <c r="H10" s="97">
        <v>0</v>
      </c>
      <c r="I10" s="97">
        <v>0</v>
      </c>
      <c r="J10" s="97">
        <v>0</v>
      </c>
      <c r="K10" s="97">
        <v>0</v>
      </c>
      <c r="L10" s="97">
        <v>0</v>
      </c>
      <c r="M10" s="250">
        <v>0</v>
      </c>
      <c r="O10" s="89"/>
      <c r="P10" s="90"/>
      <c r="Q10" s="90"/>
    </row>
    <row r="11" spans="1:17" s="22" customFormat="1" ht="12" customHeight="1" hidden="1">
      <c r="A11" s="437"/>
      <c r="B11" s="96" t="s">
        <v>186</v>
      </c>
      <c r="C11" s="97">
        <f>SUM(D11:G11)</f>
        <v>0</v>
      </c>
      <c r="D11" s="97">
        <v>0</v>
      </c>
      <c r="E11" s="97">
        <v>0</v>
      </c>
      <c r="F11" s="97">
        <v>0</v>
      </c>
      <c r="G11" s="97">
        <v>0</v>
      </c>
      <c r="H11" s="97">
        <f>SUM(I11:L11)</f>
        <v>0</v>
      </c>
      <c r="I11" s="97">
        <v>0</v>
      </c>
      <c r="J11" s="97">
        <v>0</v>
      </c>
      <c r="K11" s="97">
        <v>0</v>
      </c>
      <c r="L11" s="97">
        <v>0</v>
      </c>
      <c r="M11" s="251">
        <v>0</v>
      </c>
      <c r="O11" s="89"/>
      <c r="P11" s="90"/>
      <c r="Q11" s="90"/>
    </row>
    <row r="12" spans="1:17" s="22" customFormat="1" ht="12" customHeight="1" hidden="1">
      <c r="A12" s="437"/>
      <c r="B12" s="96" t="s">
        <v>190</v>
      </c>
      <c r="C12" s="97">
        <f>SUM(D12:G12)</f>
        <v>0</v>
      </c>
      <c r="D12" s="97">
        <f aca="true" t="shared" si="0" ref="D12:M12">SUM(E12:H12)</f>
        <v>0</v>
      </c>
      <c r="E12" s="97">
        <f t="shared" si="0"/>
        <v>0</v>
      </c>
      <c r="F12" s="97">
        <f t="shared" si="0"/>
        <v>0</v>
      </c>
      <c r="G12" s="97">
        <f t="shared" si="0"/>
        <v>0</v>
      </c>
      <c r="H12" s="97">
        <f t="shared" si="0"/>
        <v>0</v>
      </c>
      <c r="I12" s="97">
        <f t="shared" si="0"/>
        <v>0</v>
      </c>
      <c r="J12" s="97">
        <f t="shared" si="0"/>
        <v>0</v>
      </c>
      <c r="K12" s="97">
        <f t="shared" si="0"/>
        <v>0</v>
      </c>
      <c r="L12" s="97">
        <f t="shared" si="0"/>
        <v>0</v>
      </c>
      <c r="M12" s="251">
        <f t="shared" si="0"/>
        <v>0</v>
      </c>
      <c r="O12" s="89"/>
      <c r="P12" s="90"/>
      <c r="Q12" s="90"/>
    </row>
    <row r="13" spans="1:17" s="22" customFormat="1" ht="12" customHeight="1" hidden="1">
      <c r="A13" s="437"/>
      <c r="B13" s="96" t="s">
        <v>201</v>
      </c>
      <c r="C13" s="97">
        <f>SUM(D13:G13)</f>
        <v>0</v>
      </c>
      <c r="D13" s="97">
        <f aca="true" t="shared" si="1" ref="D13:M14">SUM(E13:H13)</f>
        <v>0</v>
      </c>
      <c r="E13" s="97">
        <f t="shared" si="1"/>
        <v>0</v>
      </c>
      <c r="F13" s="97">
        <f t="shared" si="1"/>
        <v>0</v>
      </c>
      <c r="G13" s="97">
        <f t="shared" si="1"/>
        <v>0</v>
      </c>
      <c r="H13" s="97">
        <f t="shared" si="1"/>
        <v>0</v>
      </c>
      <c r="I13" s="97">
        <f t="shared" si="1"/>
        <v>0</v>
      </c>
      <c r="J13" s="97">
        <f t="shared" si="1"/>
        <v>0</v>
      </c>
      <c r="K13" s="97">
        <f t="shared" si="1"/>
        <v>0</v>
      </c>
      <c r="L13" s="97">
        <f t="shared" si="1"/>
        <v>0</v>
      </c>
      <c r="M13" s="251">
        <f t="shared" si="1"/>
        <v>0</v>
      </c>
      <c r="O13" s="89"/>
      <c r="P13" s="90"/>
      <c r="Q13" s="90"/>
    </row>
    <row r="14" spans="1:17" s="22" customFormat="1" ht="12" customHeight="1" hidden="1">
      <c r="A14" s="437"/>
      <c r="B14" s="96" t="s">
        <v>206</v>
      </c>
      <c r="C14" s="97">
        <f>SUM(D14:G14)</f>
        <v>3</v>
      </c>
      <c r="D14" s="97">
        <v>1</v>
      </c>
      <c r="E14" s="240" t="s">
        <v>212</v>
      </c>
      <c r="F14" s="97">
        <v>2</v>
      </c>
      <c r="G14" s="240" t="s">
        <v>212</v>
      </c>
      <c r="H14" s="97">
        <f t="shared" si="1"/>
        <v>5</v>
      </c>
      <c r="I14" s="97">
        <v>3</v>
      </c>
      <c r="J14" s="240" t="s">
        <v>212</v>
      </c>
      <c r="K14" s="97">
        <v>2</v>
      </c>
      <c r="L14" s="240" t="s">
        <v>212</v>
      </c>
      <c r="M14" s="250">
        <f>+I14/H14*100</f>
        <v>60</v>
      </c>
      <c r="O14" s="89"/>
      <c r="P14" s="90"/>
      <c r="Q14" s="90"/>
    </row>
    <row r="15" spans="1:17" s="22" customFormat="1" ht="12" customHeight="1" hidden="1">
      <c r="A15" s="437"/>
      <c r="B15" s="96" t="s">
        <v>234</v>
      </c>
      <c r="C15" s="97">
        <f>SUM(D15:G15)</f>
        <v>2</v>
      </c>
      <c r="D15" s="97">
        <v>2</v>
      </c>
      <c r="E15" s="240">
        <v>0</v>
      </c>
      <c r="F15" s="97">
        <v>0</v>
      </c>
      <c r="G15" s="240">
        <v>0</v>
      </c>
      <c r="H15" s="97">
        <v>4</v>
      </c>
      <c r="I15" s="97">
        <v>4</v>
      </c>
      <c r="J15" s="97">
        <v>0</v>
      </c>
      <c r="K15" s="97">
        <v>0</v>
      </c>
      <c r="L15" s="97">
        <v>0</v>
      </c>
      <c r="M15" s="250">
        <f>+I15/H15*100</f>
        <v>100</v>
      </c>
      <c r="O15" s="89"/>
      <c r="P15" s="90"/>
      <c r="Q15" s="90"/>
    </row>
    <row r="16" spans="1:17" s="22" customFormat="1" ht="12" customHeight="1" hidden="1">
      <c r="A16" s="437"/>
      <c r="B16" s="96" t="s">
        <v>238</v>
      </c>
      <c r="C16" s="97">
        <v>0</v>
      </c>
      <c r="D16" s="97">
        <v>0</v>
      </c>
      <c r="E16" s="97">
        <v>0</v>
      </c>
      <c r="F16" s="97">
        <v>0</v>
      </c>
      <c r="G16" s="97">
        <v>0</v>
      </c>
      <c r="H16" s="97">
        <v>0</v>
      </c>
      <c r="I16" s="242">
        <v>0</v>
      </c>
      <c r="J16" s="97">
        <v>0</v>
      </c>
      <c r="K16" s="97">
        <v>0</v>
      </c>
      <c r="L16" s="97">
        <v>0</v>
      </c>
      <c r="M16" s="250">
        <v>0</v>
      </c>
      <c r="O16" s="89"/>
      <c r="P16" s="90"/>
      <c r="Q16" s="90"/>
    </row>
    <row r="17" spans="1:17" s="22" customFormat="1" ht="12" customHeight="1" hidden="1">
      <c r="A17" s="437"/>
      <c r="B17" s="96" t="s">
        <v>247</v>
      </c>
      <c r="C17" s="97">
        <f aca="true" t="shared" si="2" ref="C17:C22">SUM(D17:G17)</f>
        <v>1</v>
      </c>
      <c r="D17" s="97">
        <v>0</v>
      </c>
      <c r="E17" s="97">
        <v>0</v>
      </c>
      <c r="F17" s="97">
        <v>1</v>
      </c>
      <c r="G17" s="97">
        <v>0</v>
      </c>
      <c r="H17" s="97">
        <f aca="true" t="shared" si="3" ref="H17:H25">SUM(I17:L17)</f>
        <v>2</v>
      </c>
      <c r="I17" s="242">
        <v>0</v>
      </c>
      <c r="J17" s="97">
        <v>0</v>
      </c>
      <c r="K17" s="97">
        <v>2</v>
      </c>
      <c r="L17" s="97">
        <v>0</v>
      </c>
      <c r="M17" s="250">
        <f>+I17/H17*100</f>
        <v>0</v>
      </c>
      <c r="O17" s="89"/>
      <c r="P17" s="90"/>
      <c r="Q17" s="90"/>
    </row>
    <row r="18" spans="1:17" s="22" customFormat="1" ht="12" customHeight="1" hidden="1">
      <c r="A18" s="437"/>
      <c r="B18" s="96" t="s">
        <v>258</v>
      </c>
      <c r="C18" s="97">
        <f t="shared" si="2"/>
        <v>0</v>
      </c>
      <c r="D18" s="97">
        <v>0</v>
      </c>
      <c r="E18" s="97">
        <v>0</v>
      </c>
      <c r="F18" s="97">
        <v>0</v>
      </c>
      <c r="G18" s="97">
        <v>0</v>
      </c>
      <c r="H18" s="97">
        <f t="shared" si="3"/>
        <v>0</v>
      </c>
      <c r="I18" s="242">
        <v>0</v>
      </c>
      <c r="J18" s="97">
        <v>0</v>
      </c>
      <c r="K18" s="97">
        <v>0</v>
      </c>
      <c r="L18" s="97">
        <v>0</v>
      </c>
      <c r="M18" s="250">
        <v>0</v>
      </c>
      <c r="O18" s="89"/>
      <c r="P18" s="90"/>
      <c r="Q18" s="90"/>
    </row>
    <row r="19" spans="1:17" s="22" customFormat="1" ht="12" customHeight="1" hidden="1">
      <c r="A19" s="437"/>
      <c r="B19" s="96" t="s">
        <v>263</v>
      </c>
      <c r="C19" s="97">
        <f t="shared" si="2"/>
        <v>1</v>
      </c>
      <c r="D19" s="97">
        <v>0</v>
      </c>
      <c r="E19" s="97">
        <v>0</v>
      </c>
      <c r="F19" s="97">
        <v>1</v>
      </c>
      <c r="G19" s="97">
        <v>0</v>
      </c>
      <c r="H19" s="97">
        <f t="shared" si="3"/>
        <v>3</v>
      </c>
      <c r="I19" s="242">
        <v>0</v>
      </c>
      <c r="J19" s="97">
        <v>0</v>
      </c>
      <c r="K19" s="97">
        <v>3</v>
      </c>
      <c r="L19" s="97">
        <v>0</v>
      </c>
      <c r="M19" s="250">
        <f>+I19/H19*100</f>
        <v>0</v>
      </c>
      <c r="O19" s="89"/>
      <c r="P19" s="90"/>
      <c r="Q19" s="90"/>
    </row>
    <row r="20" spans="1:17" s="22" customFormat="1" ht="12" customHeight="1" hidden="1">
      <c r="A20" s="437"/>
      <c r="B20" s="96" t="s">
        <v>272</v>
      </c>
      <c r="C20" s="97">
        <f>SUM(D20:G20)</f>
        <v>0</v>
      </c>
      <c r="D20" s="97">
        <v>0</v>
      </c>
      <c r="E20" s="97">
        <v>0</v>
      </c>
      <c r="F20" s="97">
        <v>0</v>
      </c>
      <c r="G20" s="97">
        <v>0</v>
      </c>
      <c r="H20" s="97">
        <f t="shared" si="3"/>
        <v>0</v>
      </c>
      <c r="I20" s="242">
        <v>0</v>
      </c>
      <c r="J20" s="242">
        <v>0</v>
      </c>
      <c r="K20" s="242">
        <v>0</v>
      </c>
      <c r="L20" s="242">
        <v>0</v>
      </c>
      <c r="M20" s="91">
        <v>0</v>
      </c>
      <c r="O20" s="89"/>
      <c r="P20" s="90"/>
      <c r="Q20" s="90"/>
    </row>
    <row r="21" spans="1:17" s="22" customFormat="1" ht="0.75" customHeight="1">
      <c r="A21" s="437"/>
      <c r="B21" s="96" t="s">
        <v>276</v>
      </c>
      <c r="C21" s="97">
        <f t="shared" si="2"/>
        <v>0</v>
      </c>
      <c r="D21" s="97">
        <v>0</v>
      </c>
      <c r="E21" s="97">
        <v>0</v>
      </c>
      <c r="F21" s="97">
        <v>0</v>
      </c>
      <c r="G21" s="97">
        <v>0</v>
      </c>
      <c r="H21" s="97">
        <f t="shared" si="3"/>
        <v>0</v>
      </c>
      <c r="I21" s="242">
        <v>0</v>
      </c>
      <c r="J21" s="242">
        <v>0</v>
      </c>
      <c r="K21" s="242">
        <v>0</v>
      </c>
      <c r="L21" s="242">
        <v>0</v>
      </c>
      <c r="M21" s="91">
        <v>0</v>
      </c>
      <c r="O21" s="89"/>
      <c r="P21" s="90"/>
      <c r="Q21" s="90"/>
    </row>
    <row r="22" spans="1:17" s="22" customFormat="1" ht="9" customHeight="1">
      <c r="A22" s="437"/>
      <c r="B22" s="96" t="s">
        <v>302</v>
      </c>
      <c r="C22" s="97">
        <f t="shared" si="2"/>
        <v>0</v>
      </c>
      <c r="D22" s="97">
        <v>0</v>
      </c>
      <c r="E22" s="97">
        <v>0</v>
      </c>
      <c r="F22" s="97">
        <v>0</v>
      </c>
      <c r="G22" s="97">
        <v>0</v>
      </c>
      <c r="H22" s="97">
        <f t="shared" si="3"/>
        <v>0</v>
      </c>
      <c r="I22" s="242">
        <v>0</v>
      </c>
      <c r="J22" s="242">
        <v>0</v>
      </c>
      <c r="K22" s="242">
        <v>0</v>
      </c>
      <c r="L22" s="242">
        <v>0</v>
      </c>
      <c r="M22" s="91">
        <v>0</v>
      </c>
      <c r="O22" s="89"/>
      <c r="P22" s="90"/>
      <c r="Q22" s="90"/>
    </row>
    <row r="23" spans="1:17" s="22" customFormat="1" ht="12" customHeight="1">
      <c r="A23" s="437"/>
      <c r="B23" s="96" t="s">
        <v>309</v>
      </c>
      <c r="C23" s="97">
        <f>SUM(D23:G23)</f>
        <v>0</v>
      </c>
      <c r="D23" s="97">
        <v>0</v>
      </c>
      <c r="E23" s="97">
        <v>0</v>
      </c>
      <c r="F23" s="97">
        <v>0</v>
      </c>
      <c r="G23" s="97">
        <v>0</v>
      </c>
      <c r="H23" s="97">
        <f t="shared" si="3"/>
        <v>0</v>
      </c>
      <c r="I23" s="242">
        <v>0</v>
      </c>
      <c r="J23" s="242">
        <v>0</v>
      </c>
      <c r="K23" s="242">
        <v>0</v>
      </c>
      <c r="L23" s="242">
        <v>0</v>
      </c>
      <c r="M23" s="91">
        <v>0</v>
      </c>
      <c r="O23" s="89"/>
      <c r="P23" s="90"/>
      <c r="Q23" s="90"/>
    </row>
    <row r="24" spans="1:17" s="22" customFormat="1" ht="12" customHeight="1">
      <c r="A24" s="437"/>
      <c r="B24" s="96" t="s">
        <v>318</v>
      </c>
      <c r="C24" s="91">
        <f>SUM(D24:G24)</f>
        <v>1</v>
      </c>
      <c r="D24" s="91">
        <v>0</v>
      </c>
      <c r="E24" s="91">
        <v>0</v>
      </c>
      <c r="F24" s="91">
        <v>1</v>
      </c>
      <c r="G24" s="91">
        <v>0</v>
      </c>
      <c r="H24" s="91">
        <f t="shared" si="3"/>
        <v>2</v>
      </c>
      <c r="I24" s="305">
        <v>0</v>
      </c>
      <c r="J24" s="305">
        <v>0</v>
      </c>
      <c r="K24" s="91">
        <v>2</v>
      </c>
      <c r="L24" s="305">
        <v>0</v>
      </c>
      <c r="M24" s="91">
        <f>I24/H24*100</f>
        <v>0</v>
      </c>
      <c r="O24" s="89"/>
      <c r="P24" s="90"/>
      <c r="Q24" s="90"/>
    </row>
    <row r="25" spans="1:17" s="22" customFormat="1" ht="12" customHeight="1">
      <c r="A25" s="437"/>
      <c r="B25" s="96" t="s">
        <v>325</v>
      </c>
      <c r="C25" s="91">
        <f>SUM(D25:G25)</f>
        <v>1</v>
      </c>
      <c r="D25" s="91">
        <v>0</v>
      </c>
      <c r="E25" s="91">
        <v>0</v>
      </c>
      <c r="F25" s="91">
        <v>1</v>
      </c>
      <c r="G25" s="91">
        <v>0</v>
      </c>
      <c r="H25" s="91">
        <f t="shared" si="3"/>
        <v>1</v>
      </c>
      <c r="I25" s="305">
        <v>0</v>
      </c>
      <c r="J25" s="305">
        <v>0</v>
      </c>
      <c r="K25" s="91">
        <v>1</v>
      </c>
      <c r="L25" s="305">
        <v>0</v>
      </c>
      <c r="M25" s="91">
        <f>I25/H25*100</f>
        <v>0</v>
      </c>
      <c r="O25" s="89"/>
      <c r="P25" s="90"/>
      <c r="Q25" s="90"/>
    </row>
    <row r="26" spans="1:17" s="22" customFormat="1" ht="12" customHeight="1">
      <c r="A26" s="437"/>
      <c r="B26" s="96" t="s">
        <v>358</v>
      </c>
      <c r="C26" s="91">
        <v>0</v>
      </c>
      <c r="D26" s="91">
        <v>0</v>
      </c>
      <c r="E26" s="91">
        <v>0</v>
      </c>
      <c r="F26" s="91">
        <v>0</v>
      </c>
      <c r="G26" s="91">
        <v>0</v>
      </c>
      <c r="H26" s="91">
        <v>0</v>
      </c>
      <c r="I26" s="305">
        <v>0</v>
      </c>
      <c r="J26" s="305">
        <v>0</v>
      </c>
      <c r="K26" s="91">
        <v>0</v>
      </c>
      <c r="L26" s="305">
        <v>0</v>
      </c>
      <c r="M26" s="91">
        <v>0</v>
      </c>
      <c r="O26" s="89"/>
      <c r="P26" s="90"/>
      <c r="Q26" s="90"/>
    </row>
    <row r="27" spans="1:17" s="22" customFormat="1" ht="12" customHeight="1">
      <c r="A27" s="437"/>
      <c r="B27" s="315" t="s">
        <v>327</v>
      </c>
      <c r="C27" s="106"/>
      <c r="D27" s="106"/>
      <c r="E27" s="106"/>
      <c r="F27" s="106"/>
      <c r="G27" s="106"/>
      <c r="H27" s="106"/>
      <c r="I27" s="106"/>
      <c r="J27" s="106"/>
      <c r="K27" s="106"/>
      <c r="L27" s="106"/>
      <c r="M27" s="106"/>
      <c r="O27" s="89"/>
      <c r="Q27" s="90"/>
    </row>
    <row r="28" spans="1:17" s="22" customFormat="1" ht="12" customHeight="1" hidden="1">
      <c r="A28" s="437"/>
      <c r="B28" s="96" t="s">
        <v>182</v>
      </c>
      <c r="C28" s="91">
        <v>3</v>
      </c>
      <c r="D28" s="91">
        <v>2</v>
      </c>
      <c r="E28" s="91">
        <v>0</v>
      </c>
      <c r="F28" s="91">
        <v>0</v>
      </c>
      <c r="G28" s="91">
        <v>1</v>
      </c>
      <c r="H28" s="91">
        <v>28</v>
      </c>
      <c r="I28" s="91">
        <v>22</v>
      </c>
      <c r="J28" s="91">
        <v>5</v>
      </c>
      <c r="K28" s="91">
        <v>0</v>
      </c>
      <c r="L28" s="91">
        <v>1</v>
      </c>
      <c r="M28" s="249">
        <v>0</v>
      </c>
      <c r="O28" s="89"/>
      <c r="P28" s="90"/>
      <c r="Q28" s="90"/>
    </row>
    <row r="29" spans="1:17" s="22" customFormat="1" ht="12" customHeight="1" hidden="1">
      <c r="A29" s="437"/>
      <c r="B29" s="96" t="s">
        <v>184</v>
      </c>
      <c r="C29" s="91">
        <v>1</v>
      </c>
      <c r="D29" s="91">
        <v>0</v>
      </c>
      <c r="E29" s="91">
        <v>0</v>
      </c>
      <c r="F29" s="91">
        <v>1</v>
      </c>
      <c r="G29" s="91">
        <v>0</v>
      </c>
      <c r="H29" s="91">
        <v>1</v>
      </c>
      <c r="I29" s="91">
        <v>0</v>
      </c>
      <c r="J29" s="91">
        <v>0</v>
      </c>
      <c r="K29" s="91">
        <v>1</v>
      </c>
      <c r="L29" s="91">
        <v>0</v>
      </c>
      <c r="M29" s="249">
        <v>0</v>
      </c>
      <c r="O29" s="89"/>
      <c r="P29" s="90"/>
      <c r="Q29" s="90"/>
    </row>
    <row r="30" spans="1:17" s="22" customFormat="1" ht="12" customHeight="1" hidden="1">
      <c r="A30" s="437"/>
      <c r="B30" s="96" t="s">
        <v>185</v>
      </c>
      <c r="C30" s="91">
        <v>1</v>
      </c>
      <c r="D30" s="91">
        <v>0</v>
      </c>
      <c r="E30" s="91">
        <v>0</v>
      </c>
      <c r="F30" s="91">
        <v>1</v>
      </c>
      <c r="G30" s="91">
        <v>0</v>
      </c>
      <c r="H30" s="91">
        <v>2</v>
      </c>
      <c r="I30" s="305">
        <v>0</v>
      </c>
      <c r="J30" s="91">
        <v>0</v>
      </c>
      <c r="K30" s="91">
        <v>2</v>
      </c>
      <c r="L30" s="91">
        <v>0</v>
      </c>
      <c r="M30" s="249">
        <v>0</v>
      </c>
      <c r="O30" s="89"/>
      <c r="P30" s="90"/>
      <c r="Q30" s="90"/>
    </row>
    <row r="31" spans="1:17" s="22" customFormat="1" ht="12" customHeight="1" hidden="1">
      <c r="A31" s="437"/>
      <c r="B31" s="96" t="s">
        <v>186</v>
      </c>
      <c r="C31" s="91">
        <f>SUM(D31:G31)</f>
        <v>0</v>
      </c>
      <c r="D31" s="91">
        <v>0</v>
      </c>
      <c r="E31" s="91">
        <v>0</v>
      </c>
      <c r="F31" s="91">
        <v>0</v>
      </c>
      <c r="G31" s="91">
        <v>0</v>
      </c>
      <c r="H31" s="91">
        <f>SUM(I31:L31)</f>
        <v>0</v>
      </c>
      <c r="I31" s="305">
        <v>0</v>
      </c>
      <c r="J31" s="91">
        <v>0</v>
      </c>
      <c r="K31" s="91">
        <v>0</v>
      </c>
      <c r="L31" s="91">
        <v>0</v>
      </c>
      <c r="M31" s="249">
        <v>0</v>
      </c>
      <c r="O31" s="89"/>
      <c r="P31" s="90"/>
      <c r="Q31" s="90"/>
    </row>
    <row r="32" spans="1:17" s="22" customFormat="1" ht="12" customHeight="1" hidden="1">
      <c r="A32" s="437"/>
      <c r="B32" s="96" t="s">
        <v>201</v>
      </c>
      <c r="C32" s="91">
        <v>0</v>
      </c>
      <c r="D32" s="91">
        <v>0</v>
      </c>
      <c r="E32" s="91">
        <v>0</v>
      </c>
      <c r="F32" s="91">
        <v>0</v>
      </c>
      <c r="G32" s="91">
        <v>0</v>
      </c>
      <c r="H32" s="91">
        <v>0</v>
      </c>
      <c r="I32" s="305">
        <v>0</v>
      </c>
      <c r="J32" s="91">
        <v>0</v>
      </c>
      <c r="K32" s="91">
        <v>0</v>
      </c>
      <c r="L32" s="91">
        <v>0</v>
      </c>
      <c r="M32" s="249">
        <v>0</v>
      </c>
      <c r="O32" s="89"/>
      <c r="P32" s="90"/>
      <c r="Q32" s="90"/>
    </row>
    <row r="33" spans="1:17" s="22" customFormat="1" ht="12" customHeight="1" hidden="1">
      <c r="A33" s="437"/>
      <c r="B33" s="96" t="s">
        <v>206</v>
      </c>
      <c r="C33" s="91">
        <v>0</v>
      </c>
      <c r="D33" s="91">
        <v>0</v>
      </c>
      <c r="E33" s="91">
        <v>0</v>
      </c>
      <c r="F33" s="91">
        <v>0</v>
      </c>
      <c r="G33" s="91">
        <v>0</v>
      </c>
      <c r="H33" s="91">
        <v>0</v>
      </c>
      <c r="I33" s="305">
        <v>0</v>
      </c>
      <c r="J33" s="91">
        <v>0</v>
      </c>
      <c r="K33" s="91">
        <v>0</v>
      </c>
      <c r="L33" s="91">
        <v>0</v>
      </c>
      <c r="M33" s="249">
        <v>0</v>
      </c>
      <c r="O33" s="89"/>
      <c r="P33" s="90"/>
      <c r="Q33" s="90"/>
    </row>
    <row r="34" spans="1:17" s="22" customFormat="1" ht="12" customHeight="1" hidden="1">
      <c r="A34" s="437"/>
      <c r="B34" s="96" t="s">
        <v>234</v>
      </c>
      <c r="C34" s="91">
        <v>0</v>
      </c>
      <c r="D34" s="91">
        <v>0</v>
      </c>
      <c r="E34" s="91">
        <v>0</v>
      </c>
      <c r="F34" s="91">
        <v>0</v>
      </c>
      <c r="G34" s="91">
        <v>0</v>
      </c>
      <c r="H34" s="91">
        <v>0</v>
      </c>
      <c r="I34" s="305">
        <v>0</v>
      </c>
      <c r="J34" s="91">
        <v>0</v>
      </c>
      <c r="K34" s="91">
        <v>0</v>
      </c>
      <c r="L34" s="91">
        <v>0</v>
      </c>
      <c r="M34" s="249">
        <v>0</v>
      </c>
      <c r="O34" s="89"/>
      <c r="P34" s="90"/>
      <c r="Q34" s="90"/>
    </row>
    <row r="35" spans="1:17" s="22" customFormat="1" ht="12" customHeight="1" hidden="1">
      <c r="A35" s="437"/>
      <c r="B35" s="96" t="s">
        <v>238</v>
      </c>
      <c r="C35" s="91">
        <v>0</v>
      </c>
      <c r="D35" s="91">
        <v>0</v>
      </c>
      <c r="E35" s="91">
        <v>0</v>
      </c>
      <c r="F35" s="91">
        <v>0</v>
      </c>
      <c r="G35" s="91">
        <v>0</v>
      </c>
      <c r="H35" s="91">
        <v>0</v>
      </c>
      <c r="I35" s="305">
        <v>0</v>
      </c>
      <c r="J35" s="91">
        <v>0</v>
      </c>
      <c r="K35" s="91">
        <v>0</v>
      </c>
      <c r="L35" s="91">
        <v>0</v>
      </c>
      <c r="M35" s="249">
        <v>0</v>
      </c>
      <c r="O35" s="89"/>
      <c r="P35" s="90"/>
      <c r="Q35" s="90"/>
    </row>
    <row r="36" spans="1:17" s="22" customFormat="1" ht="12" customHeight="1" hidden="1">
      <c r="A36" s="437"/>
      <c r="B36" s="96" t="s">
        <v>247</v>
      </c>
      <c r="C36" s="91">
        <f aca="true" t="shared" si="4" ref="C36:C43">SUM(D36:G36)</f>
        <v>2</v>
      </c>
      <c r="D36" s="91">
        <v>2</v>
      </c>
      <c r="E36" s="91">
        <v>0</v>
      </c>
      <c r="F36" s="91">
        <v>0</v>
      </c>
      <c r="G36" s="91">
        <v>0</v>
      </c>
      <c r="H36" s="91">
        <f aca="true" t="shared" si="5" ref="H36:H43">SUM(I36:L36)</f>
        <v>4</v>
      </c>
      <c r="I36" s="305">
        <v>4</v>
      </c>
      <c r="J36" s="91">
        <v>0</v>
      </c>
      <c r="K36" s="91">
        <v>0</v>
      </c>
      <c r="L36" s="91">
        <v>0</v>
      </c>
      <c r="M36" s="250">
        <f>+I36/H36*100</f>
        <v>100</v>
      </c>
      <c r="O36" s="89"/>
      <c r="P36" s="90"/>
      <c r="Q36" s="90"/>
    </row>
    <row r="37" spans="1:17" s="22" customFormat="1" ht="12" customHeight="1" hidden="1">
      <c r="A37" s="437"/>
      <c r="B37" s="96" t="s">
        <v>253</v>
      </c>
      <c r="C37" s="91">
        <f t="shared" si="4"/>
        <v>5</v>
      </c>
      <c r="D37" s="91">
        <v>0</v>
      </c>
      <c r="E37" s="91">
        <v>2</v>
      </c>
      <c r="F37" s="91">
        <v>3</v>
      </c>
      <c r="G37" s="91">
        <v>0</v>
      </c>
      <c r="H37" s="91">
        <f t="shared" si="5"/>
        <v>31</v>
      </c>
      <c r="I37" s="305">
        <v>0</v>
      </c>
      <c r="J37" s="91">
        <v>6</v>
      </c>
      <c r="K37" s="91">
        <v>25</v>
      </c>
      <c r="L37" s="91">
        <v>0</v>
      </c>
      <c r="M37" s="250">
        <f>+I37/H37*100</f>
        <v>0</v>
      </c>
      <c r="O37" s="89"/>
      <c r="P37" s="90"/>
      <c r="Q37" s="90"/>
    </row>
    <row r="38" spans="1:17" s="22" customFormat="1" ht="12" customHeight="1" hidden="1">
      <c r="A38" s="437"/>
      <c r="B38" s="96" t="s">
        <v>263</v>
      </c>
      <c r="C38" s="91">
        <f t="shared" si="4"/>
        <v>0</v>
      </c>
      <c r="D38" s="91">
        <v>0</v>
      </c>
      <c r="E38" s="91">
        <v>0</v>
      </c>
      <c r="F38" s="91">
        <v>0</v>
      </c>
      <c r="G38" s="91">
        <v>0</v>
      </c>
      <c r="H38" s="91">
        <f t="shared" si="5"/>
        <v>0</v>
      </c>
      <c r="I38" s="91">
        <v>0</v>
      </c>
      <c r="J38" s="91">
        <v>0</v>
      </c>
      <c r="K38" s="91">
        <v>0</v>
      </c>
      <c r="L38" s="91">
        <v>0</v>
      </c>
      <c r="M38" s="250">
        <v>0</v>
      </c>
      <c r="O38" s="89"/>
      <c r="P38" s="90"/>
      <c r="Q38" s="90"/>
    </row>
    <row r="39" spans="1:17" s="22" customFormat="1" ht="12.75" customHeight="1" hidden="1">
      <c r="A39" s="437"/>
      <c r="B39" s="96" t="s">
        <v>272</v>
      </c>
      <c r="C39" s="91">
        <f t="shared" si="4"/>
        <v>3</v>
      </c>
      <c r="D39" s="91">
        <v>1</v>
      </c>
      <c r="E39" s="91">
        <v>0</v>
      </c>
      <c r="F39" s="91">
        <v>2</v>
      </c>
      <c r="G39" s="91">
        <v>0</v>
      </c>
      <c r="H39" s="91">
        <f t="shared" si="5"/>
        <v>4</v>
      </c>
      <c r="I39" s="91">
        <v>2</v>
      </c>
      <c r="J39" s="305">
        <v>0</v>
      </c>
      <c r="K39" s="91">
        <v>2</v>
      </c>
      <c r="L39" s="91">
        <v>0</v>
      </c>
      <c r="M39" s="250">
        <f>+I39/H39*100</f>
        <v>50</v>
      </c>
      <c r="O39" s="89"/>
      <c r="P39" s="90"/>
      <c r="Q39" s="90"/>
    </row>
    <row r="40" spans="1:17" s="22" customFormat="1" ht="12" customHeight="1">
      <c r="A40" s="437"/>
      <c r="B40" s="96" t="s">
        <v>302</v>
      </c>
      <c r="C40" s="91">
        <f t="shared" si="4"/>
        <v>0</v>
      </c>
      <c r="D40" s="91">
        <v>0</v>
      </c>
      <c r="E40" s="91">
        <f>SUM(F40:I40)</f>
        <v>0</v>
      </c>
      <c r="F40" s="91">
        <f>SUM(G40:J40)</f>
        <v>0</v>
      </c>
      <c r="G40" s="91">
        <v>0</v>
      </c>
      <c r="H40" s="91">
        <f t="shared" si="5"/>
        <v>0</v>
      </c>
      <c r="I40" s="305">
        <v>0</v>
      </c>
      <c r="J40" s="305">
        <v>0</v>
      </c>
      <c r="K40" s="305">
        <v>0</v>
      </c>
      <c r="L40" s="91">
        <v>0</v>
      </c>
      <c r="M40" s="250">
        <v>0</v>
      </c>
      <c r="O40" s="89"/>
      <c r="P40" s="90"/>
      <c r="Q40" s="90"/>
    </row>
    <row r="41" spans="1:17" s="22" customFormat="1" ht="12" customHeight="1">
      <c r="A41" s="437"/>
      <c r="B41" s="96" t="s">
        <v>309</v>
      </c>
      <c r="C41" s="91">
        <f t="shared" si="4"/>
        <v>0</v>
      </c>
      <c r="D41" s="91">
        <v>0</v>
      </c>
      <c r="E41" s="91">
        <f>SUM(F41:I41)</f>
        <v>0</v>
      </c>
      <c r="F41" s="91">
        <f>SUM(G41:J41)</f>
        <v>0</v>
      </c>
      <c r="G41" s="91">
        <v>0</v>
      </c>
      <c r="H41" s="91">
        <f t="shared" si="5"/>
        <v>0</v>
      </c>
      <c r="I41" s="305">
        <v>0</v>
      </c>
      <c r="J41" s="305">
        <v>0</v>
      </c>
      <c r="K41" s="305">
        <v>0</v>
      </c>
      <c r="L41" s="91">
        <v>0</v>
      </c>
      <c r="M41" s="250">
        <v>0</v>
      </c>
      <c r="O41" s="89"/>
      <c r="P41" s="90"/>
      <c r="Q41" s="90"/>
    </row>
    <row r="42" spans="1:17" s="22" customFormat="1" ht="12" customHeight="1">
      <c r="A42" s="437"/>
      <c r="B42" s="96" t="s">
        <v>318</v>
      </c>
      <c r="C42" s="91">
        <f t="shared" si="4"/>
        <v>2</v>
      </c>
      <c r="D42" s="91">
        <v>1</v>
      </c>
      <c r="E42" s="91">
        <v>1</v>
      </c>
      <c r="F42" s="91">
        <v>0</v>
      </c>
      <c r="G42" s="91">
        <v>0</v>
      </c>
      <c r="H42" s="91">
        <f t="shared" si="5"/>
        <v>7</v>
      </c>
      <c r="I42" s="305">
        <v>2</v>
      </c>
      <c r="J42" s="305">
        <v>3</v>
      </c>
      <c r="K42" s="305">
        <v>2</v>
      </c>
      <c r="L42" s="91">
        <v>0</v>
      </c>
      <c r="M42" s="250">
        <f>+I42/H42*100</f>
        <v>28.57142857142857</v>
      </c>
      <c r="O42" s="89"/>
      <c r="P42" s="90"/>
      <c r="Q42" s="90"/>
    </row>
    <row r="43" spans="1:17" s="22" customFormat="1" ht="10.5" customHeight="1">
      <c r="A43" s="437"/>
      <c r="B43" s="96" t="s">
        <v>325</v>
      </c>
      <c r="C43" s="91">
        <f t="shared" si="4"/>
        <v>0</v>
      </c>
      <c r="D43" s="91">
        <v>0</v>
      </c>
      <c r="E43" s="91">
        <v>0</v>
      </c>
      <c r="F43" s="91">
        <v>0</v>
      </c>
      <c r="G43" s="91">
        <v>0</v>
      </c>
      <c r="H43" s="91">
        <f t="shared" si="5"/>
        <v>0</v>
      </c>
      <c r="I43" s="305">
        <v>0</v>
      </c>
      <c r="J43" s="305">
        <v>0</v>
      </c>
      <c r="K43" s="305">
        <v>0</v>
      </c>
      <c r="L43" s="91">
        <v>0</v>
      </c>
      <c r="M43" s="250">
        <v>0</v>
      </c>
      <c r="O43" s="89"/>
      <c r="P43" s="90"/>
      <c r="Q43" s="90"/>
    </row>
    <row r="44" spans="1:17" s="22" customFormat="1" ht="10.5" customHeight="1">
      <c r="A44" s="437"/>
      <c r="B44" s="96" t="s">
        <v>358</v>
      </c>
      <c r="C44" s="91">
        <v>0</v>
      </c>
      <c r="D44" s="91">
        <v>0</v>
      </c>
      <c r="E44" s="93">
        <v>0</v>
      </c>
      <c r="F44" s="91">
        <v>0</v>
      </c>
      <c r="G44" s="93">
        <v>0</v>
      </c>
      <c r="H44" s="93">
        <v>0</v>
      </c>
      <c r="I44" s="93">
        <v>0</v>
      </c>
      <c r="J44" s="93">
        <v>0</v>
      </c>
      <c r="K44" s="93">
        <v>0</v>
      </c>
      <c r="L44" s="93">
        <v>0</v>
      </c>
      <c r="M44" s="250">
        <v>0</v>
      </c>
      <c r="O44" s="89"/>
      <c r="P44" s="90"/>
      <c r="Q44" s="90"/>
    </row>
    <row r="45" spans="1:17" s="22" customFormat="1" ht="12" customHeight="1">
      <c r="A45" s="437"/>
      <c r="B45" s="100" t="s">
        <v>144</v>
      </c>
      <c r="C45" s="91"/>
      <c r="D45" s="93"/>
      <c r="E45" s="93"/>
      <c r="F45" s="93"/>
      <c r="G45" s="93"/>
      <c r="H45" s="93"/>
      <c r="I45" s="93"/>
      <c r="J45" s="93"/>
      <c r="K45" s="93"/>
      <c r="L45" s="93"/>
      <c r="M45" s="250"/>
      <c r="O45" s="89"/>
      <c r="P45" s="90"/>
      <c r="Q45" s="90"/>
    </row>
    <row r="46" spans="1:17" s="22" customFormat="1" ht="12" customHeight="1" hidden="1">
      <c r="A46" s="437"/>
      <c r="B46" s="96" t="s">
        <v>183</v>
      </c>
      <c r="C46" s="91">
        <v>5</v>
      </c>
      <c r="D46" s="93">
        <v>5</v>
      </c>
      <c r="E46" s="93" t="s">
        <v>126</v>
      </c>
      <c r="F46" s="93">
        <v>0</v>
      </c>
      <c r="G46" s="93">
        <v>0</v>
      </c>
      <c r="H46" s="93">
        <v>5</v>
      </c>
      <c r="I46" s="93">
        <v>5</v>
      </c>
      <c r="J46" s="93" t="s">
        <v>126</v>
      </c>
      <c r="K46" s="93">
        <v>0</v>
      </c>
      <c r="L46" s="93">
        <v>0</v>
      </c>
      <c r="M46" s="250">
        <v>100</v>
      </c>
      <c r="O46" s="89"/>
      <c r="P46" s="90"/>
      <c r="Q46" s="90"/>
    </row>
    <row r="47" spans="1:17" s="22" customFormat="1" ht="12" customHeight="1" hidden="1">
      <c r="A47" s="437"/>
      <c r="B47" s="96" t="s">
        <v>182</v>
      </c>
      <c r="C47" s="91">
        <v>14</v>
      </c>
      <c r="D47" s="91">
        <v>4</v>
      </c>
      <c r="E47" s="91">
        <v>7</v>
      </c>
      <c r="F47" s="91">
        <v>0</v>
      </c>
      <c r="G47" s="91">
        <v>3</v>
      </c>
      <c r="H47" s="91">
        <v>16</v>
      </c>
      <c r="I47" s="91">
        <v>4</v>
      </c>
      <c r="J47" s="91">
        <v>8</v>
      </c>
      <c r="K47" s="91">
        <v>0</v>
      </c>
      <c r="L47" s="91">
        <v>4</v>
      </c>
      <c r="M47" s="250">
        <v>25</v>
      </c>
      <c r="O47" s="89"/>
      <c r="P47" s="90"/>
      <c r="Q47" s="90"/>
    </row>
    <row r="48" spans="1:17" s="22" customFormat="1" ht="12" customHeight="1" hidden="1">
      <c r="A48" s="437"/>
      <c r="B48" s="96" t="s">
        <v>184</v>
      </c>
      <c r="C48" s="91">
        <v>12</v>
      </c>
      <c r="D48" s="91">
        <v>7</v>
      </c>
      <c r="E48" s="91">
        <v>0</v>
      </c>
      <c r="F48" s="91">
        <v>3</v>
      </c>
      <c r="G48" s="91">
        <v>2</v>
      </c>
      <c r="H48" s="91">
        <v>15</v>
      </c>
      <c r="I48" s="91">
        <v>10</v>
      </c>
      <c r="J48" s="91">
        <v>0</v>
      </c>
      <c r="K48" s="91">
        <v>3</v>
      </c>
      <c r="L48" s="91">
        <v>2</v>
      </c>
      <c r="M48" s="250">
        <v>66.6666666666667</v>
      </c>
      <c r="O48" s="89"/>
      <c r="P48" s="90"/>
      <c r="Q48" s="90"/>
    </row>
    <row r="49" spans="1:17" s="22" customFormat="1" ht="1.5" customHeight="1">
      <c r="A49" s="437"/>
      <c r="B49" s="96" t="s">
        <v>185</v>
      </c>
      <c r="C49" s="91"/>
      <c r="D49" s="91"/>
      <c r="E49" s="91"/>
      <c r="F49" s="91"/>
      <c r="G49" s="91"/>
      <c r="H49" s="91"/>
      <c r="I49" s="91"/>
      <c r="J49" s="91"/>
      <c r="K49" s="91"/>
      <c r="L49" s="91"/>
      <c r="M49" s="250"/>
      <c r="O49" s="89"/>
      <c r="P49" s="90"/>
      <c r="Q49" s="90"/>
    </row>
    <row r="50" spans="1:17" s="22" customFormat="1" ht="12" customHeight="1" hidden="1">
      <c r="A50" s="437"/>
      <c r="B50" s="96" t="s">
        <v>185</v>
      </c>
      <c r="C50" s="91">
        <v>4</v>
      </c>
      <c r="D50" s="91">
        <v>0</v>
      </c>
      <c r="E50" s="91">
        <v>1</v>
      </c>
      <c r="F50" s="91">
        <v>2</v>
      </c>
      <c r="G50" s="91">
        <v>1</v>
      </c>
      <c r="H50" s="91">
        <v>7</v>
      </c>
      <c r="I50" s="91">
        <v>0</v>
      </c>
      <c r="J50" s="91">
        <v>2</v>
      </c>
      <c r="K50" s="91">
        <v>2</v>
      </c>
      <c r="L50" s="91">
        <v>3</v>
      </c>
      <c r="M50" s="250">
        <v>0</v>
      </c>
      <c r="O50" s="89"/>
      <c r="P50" s="90"/>
      <c r="Q50" s="90"/>
    </row>
    <row r="51" spans="1:17" s="22" customFormat="1" ht="12" customHeight="1" hidden="1">
      <c r="A51" s="437"/>
      <c r="B51" s="96" t="s">
        <v>186</v>
      </c>
      <c r="C51" s="91">
        <f>SUM(D51:G51)</f>
        <v>7</v>
      </c>
      <c r="D51" s="91">
        <v>1</v>
      </c>
      <c r="E51" s="91">
        <v>2</v>
      </c>
      <c r="F51" s="91">
        <v>0</v>
      </c>
      <c r="G51" s="91">
        <v>4</v>
      </c>
      <c r="H51" s="91">
        <f>SUM(I51:L51)</f>
        <v>7</v>
      </c>
      <c r="I51" s="91">
        <v>1</v>
      </c>
      <c r="J51" s="91">
        <v>2</v>
      </c>
      <c r="K51" s="91"/>
      <c r="L51" s="91">
        <v>4</v>
      </c>
      <c r="M51" s="250">
        <f>+I51/H51*100</f>
        <v>14.285714285714285</v>
      </c>
      <c r="O51" s="89"/>
      <c r="P51" s="90"/>
      <c r="Q51" s="90"/>
    </row>
    <row r="52" spans="1:17" s="22" customFormat="1" ht="12" customHeight="1" hidden="1">
      <c r="A52" s="437"/>
      <c r="B52" s="96" t="s">
        <v>190</v>
      </c>
      <c r="C52" s="91">
        <f>SUM(D52:G52)</f>
        <v>7</v>
      </c>
      <c r="D52" s="91">
        <v>1</v>
      </c>
      <c r="E52" s="91">
        <v>0</v>
      </c>
      <c r="F52" s="91">
        <v>2</v>
      </c>
      <c r="G52" s="91">
        <v>4</v>
      </c>
      <c r="H52" s="91">
        <f>SUM(I52:L52)</f>
        <v>8</v>
      </c>
      <c r="I52" s="91">
        <v>2</v>
      </c>
      <c r="J52" s="91">
        <v>0</v>
      </c>
      <c r="K52" s="91">
        <v>2</v>
      </c>
      <c r="L52" s="91">
        <v>4</v>
      </c>
      <c r="M52" s="250">
        <f>+I52/H52*100</f>
        <v>25</v>
      </c>
      <c r="O52" s="89"/>
      <c r="P52" s="90"/>
      <c r="Q52" s="90"/>
    </row>
    <row r="53" spans="1:17" s="22" customFormat="1" ht="12" customHeight="1" hidden="1">
      <c r="A53" s="437"/>
      <c r="B53" s="96" t="s">
        <v>201</v>
      </c>
      <c r="C53" s="91">
        <f>SUM(D53:G53)</f>
        <v>0</v>
      </c>
      <c r="D53" s="91">
        <v>0</v>
      </c>
      <c r="E53" s="91">
        <v>0</v>
      </c>
      <c r="F53" s="91">
        <v>0</v>
      </c>
      <c r="G53" s="91">
        <v>0</v>
      </c>
      <c r="H53" s="91">
        <f>SUM(I53:L53)</f>
        <v>0</v>
      </c>
      <c r="I53" s="91">
        <v>0</v>
      </c>
      <c r="J53" s="91">
        <v>0</v>
      </c>
      <c r="K53" s="91">
        <v>0</v>
      </c>
      <c r="L53" s="91">
        <v>0</v>
      </c>
      <c r="M53" s="250">
        <v>0</v>
      </c>
      <c r="O53" s="89"/>
      <c r="P53" s="90"/>
      <c r="Q53" s="90"/>
    </row>
    <row r="54" spans="1:17" s="22" customFormat="1" ht="12" customHeight="1" hidden="1">
      <c r="A54" s="437"/>
      <c r="B54" s="96" t="s">
        <v>206</v>
      </c>
      <c r="C54" s="91">
        <f>SUM(D54:G54)</f>
        <v>0</v>
      </c>
      <c r="D54" s="91">
        <v>0</v>
      </c>
      <c r="E54" s="91">
        <v>0</v>
      </c>
      <c r="F54" s="91">
        <v>0</v>
      </c>
      <c r="G54" s="91">
        <v>0</v>
      </c>
      <c r="H54" s="91">
        <f>SUM(I54:L54)</f>
        <v>0</v>
      </c>
      <c r="I54" s="91">
        <v>0</v>
      </c>
      <c r="J54" s="91">
        <v>0</v>
      </c>
      <c r="K54" s="91">
        <v>0</v>
      </c>
      <c r="L54" s="91">
        <v>0</v>
      </c>
      <c r="M54" s="250">
        <v>0</v>
      </c>
      <c r="O54" s="89"/>
      <c r="P54" s="90"/>
      <c r="Q54" s="90"/>
    </row>
    <row r="55" spans="1:17" s="22" customFormat="1" ht="12" customHeight="1" hidden="1">
      <c r="A55" s="437"/>
      <c r="B55" s="96" t="s">
        <v>234</v>
      </c>
      <c r="C55" s="91">
        <f>SUM(D55:G55)</f>
        <v>0</v>
      </c>
      <c r="D55" s="91">
        <v>0</v>
      </c>
      <c r="E55" s="91">
        <v>0</v>
      </c>
      <c r="F55" s="91">
        <v>0</v>
      </c>
      <c r="G55" s="91">
        <v>0</v>
      </c>
      <c r="H55" s="91">
        <f>SUM(I55:L55)</f>
        <v>0</v>
      </c>
      <c r="I55" s="91">
        <v>0</v>
      </c>
      <c r="J55" s="91">
        <v>0</v>
      </c>
      <c r="K55" s="91">
        <v>0</v>
      </c>
      <c r="L55" s="91">
        <v>0</v>
      </c>
      <c r="M55" s="250">
        <v>0</v>
      </c>
      <c r="O55" s="89"/>
      <c r="P55" s="90"/>
      <c r="Q55" s="90"/>
    </row>
    <row r="56" spans="1:17" s="22" customFormat="1" ht="12" customHeight="1" hidden="1">
      <c r="A56" s="437"/>
      <c r="B56" s="96" t="s">
        <v>238</v>
      </c>
      <c r="C56" s="91">
        <v>0</v>
      </c>
      <c r="D56" s="91">
        <v>0</v>
      </c>
      <c r="E56" s="91">
        <v>0</v>
      </c>
      <c r="F56" s="91">
        <v>0</v>
      </c>
      <c r="G56" s="91">
        <v>0</v>
      </c>
      <c r="H56" s="91">
        <v>0</v>
      </c>
      <c r="I56" s="305">
        <v>0</v>
      </c>
      <c r="J56" s="91">
        <v>0</v>
      </c>
      <c r="K56" s="91">
        <v>0</v>
      </c>
      <c r="L56" s="91">
        <v>0</v>
      </c>
      <c r="M56" s="249">
        <v>0</v>
      </c>
      <c r="O56" s="89"/>
      <c r="P56" s="90"/>
      <c r="Q56" s="90"/>
    </row>
    <row r="57" spans="1:17" s="22" customFormat="1" ht="12" customHeight="1" hidden="1">
      <c r="A57" s="437"/>
      <c r="B57" s="96" t="s">
        <v>247</v>
      </c>
      <c r="C57" s="91">
        <v>0</v>
      </c>
      <c r="D57" s="91">
        <v>0</v>
      </c>
      <c r="E57" s="91">
        <v>0</v>
      </c>
      <c r="F57" s="91">
        <v>0</v>
      </c>
      <c r="G57" s="91">
        <v>0</v>
      </c>
      <c r="H57" s="91">
        <v>0</v>
      </c>
      <c r="I57" s="305">
        <v>0</v>
      </c>
      <c r="J57" s="91">
        <v>0</v>
      </c>
      <c r="K57" s="91">
        <v>0</v>
      </c>
      <c r="L57" s="91">
        <v>0</v>
      </c>
      <c r="M57" s="249">
        <v>0</v>
      </c>
      <c r="O57" s="89"/>
      <c r="P57" s="90"/>
      <c r="Q57" s="90"/>
    </row>
    <row r="58" spans="1:17" s="22" customFormat="1" ht="12" customHeight="1" hidden="1">
      <c r="A58" s="437"/>
      <c r="B58" s="96" t="s">
        <v>253</v>
      </c>
      <c r="C58" s="91">
        <f aca="true" t="shared" si="6" ref="C58:C64">SUM(D58:G58)</f>
        <v>0</v>
      </c>
      <c r="D58" s="91">
        <f aca="true" t="shared" si="7" ref="D58:M58">SUM(E58:H58)</f>
        <v>0</v>
      </c>
      <c r="E58" s="91">
        <f t="shared" si="7"/>
        <v>0</v>
      </c>
      <c r="F58" s="91">
        <f t="shared" si="7"/>
        <v>0</v>
      </c>
      <c r="G58" s="91">
        <f t="shared" si="7"/>
        <v>0</v>
      </c>
      <c r="H58" s="91">
        <f t="shared" si="7"/>
        <v>0</v>
      </c>
      <c r="I58" s="91">
        <f t="shared" si="7"/>
        <v>0</v>
      </c>
      <c r="J58" s="91">
        <f t="shared" si="7"/>
        <v>0</v>
      </c>
      <c r="K58" s="91">
        <f t="shared" si="7"/>
        <v>0</v>
      </c>
      <c r="L58" s="91">
        <f t="shared" si="7"/>
        <v>0</v>
      </c>
      <c r="M58" s="91">
        <f t="shared" si="7"/>
        <v>0</v>
      </c>
      <c r="O58" s="89"/>
      <c r="P58" s="90"/>
      <c r="Q58" s="90"/>
    </row>
    <row r="59" spans="1:17" s="22" customFormat="1" ht="12" customHeight="1" hidden="1">
      <c r="A59" s="437"/>
      <c r="B59" s="96" t="s">
        <v>263</v>
      </c>
      <c r="C59" s="91">
        <f t="shared" si="6"/>
        <v>1</v>
      </c>
      <c r="D59" s="91">
        <v>0</v>
      </c>
      <c r="E59" s="91">
        <v>0</v>
      </c>
      <c r="F59" s="91">
        <v>0</v>
      </c>
      <c r="G59" s="91">
        <v>1</v>
      </c>
      <c r="H59" s="91">
        <f aca="true" t="shared" si="8" ref="H59:H64">SUM(I59:L59)</f>
        <v>3</v>
      </c>
      <c r="I59" s="305">
        <v>0</v>
      </c>
      <c r="J59" s="91">
        <v>0</v>
      </c>
      <c r="K59" s="91">
        <v>0</v>
      </c>
      <c r="L59" s="91">
        <v>3</v>
      </c>
      <c r="M59" s="250">
        <v>0</v>
      </c>
      <c r="O59" s="89"/>
      <c r="P59" s="90"/>
      <c r="Q59" s="90"/>
    </row>
    <row r="60" spans="1:17" s="22" customFormat="1" ht="12" customHeight="1" hidden="1">
      <c r="A60" s="437"/>
      <c r="B60" s="96" t="s">
        <v>272</v>
      </c>
      <c r="C60" s="91">
        <f t="shared" si="6"/>
        <v>1</v>
      </c>
      <c r="D60" s="91">
        <v>0</v>
      </c>
      <c r="E60" s="91">
        <v>0</v>
      </c>
      <c r="F60" s="91">
        <v>1</v>
      </c>
      <c r="G60" s="91">
        <v>0</v>
      </c>
      <c r="H60" s="91">
        <f t="shared" si="8"/>
        <v>3</v>
      </c>
      <c r="I60" s="305">
        <v>0</v>
      </c>
      <c r="J60" s="91">
        <v>0</v>
      </c>
      <c r="K60" s="91">
        <v>3</v>
      </c>
      <c r="L60" s="91">
        <v>0</v>
      </c>
      <c r="M60" s="250">
        <v>0</v>
      </c>
      <c r="O60" s="89"/>
      <c r="P60" s="90"/>
      <c r="Q60" s="90"/>
    </row>
    <row r="61" spans="1:17" s="22" customFormat="1" ht="12" customHeight="1">
      <c r="A61" s="437"/>
      <c r="B61" s="96" t="s">
        <v>302</v>
      </c>
      <c r="C61" s="91">
        <f t="shared" si="6"/>
        <v>0</v>
      </c>
      <c r="D61" s="91">
        <v>0</v>
      </c>
      <c r="E61" s="91">
        <v>0</v>
      </c>
      <c r="F61" s="91">
        <v>0</v>
      </c>
      <c r="G61" s="91">
        <v>0</v>
      </c>
      <c r="H61" s="91">
        <f t="shared" si="8"/>
        <v>0</v>
      </c>
      <c r="I61" s="305">
        <v>0</v>
      </c>
      <c r="J61" s="91">
        <v>0</v>
      </c>
      <c r="K61" s="91">
        <v>0</v>
      </c>
      <c r="L61" s="91">
        <v>0</v>
      </c>
      <c r="M61" s="250">
        <v>0</v>
      </c>
      <c r="O61" s="89"/>
      <c r="P61" s="90"/>
      <c r="Q61" s="90"/>
    </row>
    <row r="62" spans="1:17" s="22" customFormat="1" ht="12" customHeight="1">
      <c r="A62" s="437"/>
      <c r="B62" s="96" t="s">
        <v>309</v>
      </c>
      <c r="C62" s="91">
        <f t="shared" si="6"/>
        <v>0</v>
      </c>
      <c r="D62" s="91">
        <v>0</v>
      </c>
      <c r="E62" s="91">
        <v>0</v>
      </c>
      <c r="F62" s="91">
        <v>0</v>
      </c>
      <c r="G62" s="91">
        <v>0</v>
      </c>
      <c r="H62" s="91">
        <f t="shared" si="8"/>
        <v>0</v>
      </c>
      <c r="I62" s="305">
        <v>0</v>
      </c>
      <c r="J62" s="91">
        <v>0</v>
      </c>
      <c r="K62" s="91">
        <v>0</v>
      </c>
      <c r="L62" s="91">
        <v>0</v>
      </c>
      <c r="M62" s="250">
        <v>0</v>
      </c>
      <c r="O62" s="89"/>
      <c r="P62" s="90"/>
      <c r="Q62" s="90"/>
    </row>
    <row r="63" spans="1:17" s="22" customFormat="1" ht="12" customHeight="1">
      <c r="A63" s="437"/>
      <c r="B63" s="96" t="s">
        <v>318</v>
      </c>
      <c r="C63" s="91">
        <f t="shared" si="6"/>
        <v>0</v>
      </c>
      <c r="D63" s="91">
        <v>0</v>
      </c>
      <c r="E63" s="91">
        <v>0</v>
      </c>
      <c r="F63" s="91">
        <v>0</v>
      </c>
      <c r="G63" s="91">
        <v>0</v>
      </c>
      <c r="H63" s="91">
        <f t="shared" si="8"/>
        <v>0</v>
      </c>
      <c r="I63" s="305">
        <v>0</v>
      </c>
      <c r="J63" s="91">
        <v>0</v>
      </c>
      <c r="K63" s="91">
        <v>0</v>
      </c>
      <c r="L63" s="91">
        <v>0</v>
      </c>
      <c r="M63" s="250">
        <v>0</v>
      </c>
      <c r="O63" s="89"/>
      <c r="P63" s="90"/>
      <c r="Q63" s="90"/>
    </row>
    <row r="64" spans="1:17" s="22" customFormat="1" ht="15.75" customHeight="1">
      <c r="A64" s="437"/>
      <c r="B64" s="96" t="s">
        <v>325</v>
      </c>
      <c r="C64" s="91">
        <f t="shared" si="6"/>
        <v>0</v>
      </c>
      <c r="D64" s="91">
        <v>0</v>
      </c>
      <c r="E64" s="91">
        <v>0</v>
      </c>
      <c r="F64" s="91">
        <v>0</v>
      </c>
      <c r="G64" s="91">
        <v>0</v>
      </c>
      <c r="H64" s="91">
        <f t="shared" si="8"/>
        <v>0</v>
      </c>
      <c r="I64" s="305">
        <v>0</v>
      </c>
      <c r="J64" s="91">
        <v>0</v>
      </c>
      <c r="K64" s="91">
        <v>0</v>
      </c>
      <c r="L64" s="91">
        <v>0</v>
      </c>
      <c r="M64" s="250">
        <v>0</v>
      </c>
      <c r="O64" s="89"/>
      <c r="P64" s="90"/>
      <c r="Q64" s="90"/>
    </row>
    <row r="65" spans="1:17" s="22" customFormat="1" ht="15.75" customHeight="1">
      <c r="A65" s="437"/>
      <c r="B65" s="96" t="s">
        <v>358</v>
      </c>
      <c r="C65" s="91">
        <f>SUM(D65:G65)</f>
        <v>0</v>
      </c>
      <c r="D65" s="91">
        <v>0</v>
      </c>
      <c r="E65" s="91">
        <v>0</v>
      </c>
      <c r="F65" s="91">
        <v>0</v>
      </c>
      <c r="G65" s="91">
        <v>0</v>
      </c>
      <c r="H65" s="91">
        <f>SUM(I65:L65)</f>
        <v>0</v>
      </c>
      <c r="I65" s="305">
        <v>0</v>
      </c>
      <c r="J65" s="91">
        <v>0</v>
      </c>
      <c r="K65" s="91">
        <v>0</v>
      </c>
      <c r="L65" s="91">
        <v>0</v>
      </c>
      <c r="M65" s="250">
        <v>0</v>
      </c>
      <c r="O65" s="89"/>
      <c r="P65" s="90"/>
      <c r="Q65" s="90"/>
    </row>
    <row r="66" spans="1:17" s="22" customFormat="1" ht="12" customHeight="1">
      <c r="A66" s="437"/>
      <c r="B66" s="100" t="s">
        <v>139</v>
      </c>
      <c r="C66" s="91"/>
      <c r="D66" s="91"/>
      <c r="E66" s="91"/>
      <c r="F66" s="91"/>
      <c r="G66" s="91"/>
      <c r="H66" s="91"/>
      <c r="I66" s="91"/>
      <c r="J66" s="91"/>
      <c r="K66" s="91"/>
      <c r="L66" s="91"/>
      <c r="M66" s="250"/>
      <c r="O66" s="89"/>
      <c r="P66" s="90"/>
      <c r="Q66" s="90"/>
    </row>
    <row r="67" spans="1:17" s="22" customFormat="1" ht="12" customHeight="1" hidden="1">
      <c r="A67" s="437"/>
      <c r="B67" s="96" t="s">
        <v>187</v>
      </c>
      <c r="C67" s="91">
        <v>0</v>
      </c>
      <c r="D67" s="91">
        <v>0</v>
      </c>
      <c r="E67" s="91">
        <v>0</v>
      </c>
      <c r="F67" s="91">
        <v>0</v>
      </c>
      <c r="G67" s="91">
        <v>0</v>
      </c>
      <c r="H67" s="91">
        <v>0</v>
      </c>
      <c r="I67" s="91">
        <v>0</v>
      </c>
      <c r="J67" s="91">
        <v>0</v>
      </c>
      <c r="K67" s="91">
        <v>0</v>
      </c>
      <c r="L67" s="91">
        <v>0</v>
      </c>
      <c r="M67" s="250">
        <v>0</v>
      </c>
      <c r="O67" s="89"/>
      <c r="P67" s="90"/>
      <c r="Q67" s="90"/>
    </row>
    <row r="68" spans="1:17" s="22" customFormat="1" ht="12" customHeight="1" hidden="1">
      <c r="A68" s="437"/>
      <c r="B68" s="96" t="s">
        <v>184</v>
      </c>
      <c r="C68" s="91">
        <v>0</v>
      </c>
      <c r="D68" s="91">
        <v>0</v>
      </c>
      <c r="E68" s="91">
        <v>0</v>
      </c>
      <c r="F68" s="91">
        <v>0</v>
      </c>
      <c r="G68" s="91">
        <v>0</v>
      </c>
      <c r="H68" s="91">
        <v>0</v>
      </c>
      <c r="I68" s="91">
        <v>0</v>
      </c>
      <c r="J68" s="91">
        <v>0</v>
      </c>
      <c r="K68" s="91">
        <v>0</v>
      </c>
      <c r="L68" s="91">
        <v>0</v>
      </c>
      <c r="M68" s="250">
        <v>0</v>
      </c>
      <c r="O68" s="89"/>
      <c r="P68" s="90"/>
      <c r="Q68" s="90"/>
    </row>
    <row r="69" spans="1:17" s="22" customFormat="1" ht="12" customHeight="1" hidden="1">
      <c r="A69" s="437"/>
      <c r="B69" s="96" t="s">
        <v>185</v>
      </c>
      <c r="C69" s="91">
        <v>0</v>
      </c>
      <c r="D69" s="91">
        <v>0</v>
      </c>
      <c r="E69" s="91">
        <v>0</v>
      </c>
      <c r="F69" s="91">
        <v>0</v>
      </c>
      <c r="G69" s="91">
        <v>0</v>
      </c>
      <c r="H69" s="91">
        <v>0</v>
      </c>
      <c r="I69" s="91">
        <v>0</v>
      </c>
      <c r="J69" s="91">
        <v>0</v>
      </c>
      <c r="K69" s="91">
        <v>0</v>
      </c>
      <c r="L69" s="91">
        <v>0</v>
      </c>
      <c r="M69" s="250">
        <v>0</v>
      </c>
      <c r="O69" s="89"/>
      <c r="P69" s="90"/>
      <c r="Q69" s="90"/>
    </row>
    <row r="70" spans="1:17" s="22" customFormat="1" ht="12" customHeight="1" hidden="1">
      <c r="A70" s="437"/>
      <c r="B70" s="96" t="s">
        <v>186</v>
      </c>
      <c r="C70" s="91">
        <f>SUM(D70:G70)</f>
        <v>0</v>
      </c>
      <c r="D70" s="91">
        <v>0</v>
      </c>
      <c r="E70" s="91">
        <v>0</v>
      </c>
      <c r="F70" s="91">
        <v>0</v>
      </c>
      <c r="G70" s="91">
        <v>0</v>
      </c>
      <c r="H70" s="91">
        <f>SUM(I70:L70)</f>
        <v>0</v>
      </c>
      <c r="I70" s="91">
        <v>0</v>
      </c>
      <c r="J70" s="91">
        <v>0</v>
      </c>
      <c r="K70" s="91">
        <v>0</v>
      </c>
      <c r="L70" s="91">
        <v>0</v>
      </c>
      <c r="M70" s="250">
        <v>0</v>
      </c>
      <c r="O70" s="89"/>
      <c r="P70" s="90"/>
      <c r="Q70" s="90"/>
    </row>
    <row r="71" spans="1:17" s="22" customFormat="1" ht="12" customHeight="1" hidden="1">
      <c r="A71" s="437"/>
      <c r="B71" s="96" t="s">
        <v>190</v>
      </c>
      <c r="C71" s="91">
        <v>0</v>
      </c>
      <c r="D71" s="91">
        <v>0</v>
      </c>
      <c r="E71" s="91">
        <v>0</v>
      </c>
      <c r="F71" s="91">
        <v>0</v>
      </c>
      <c r="G71" s="91">
        <v>0</v>
      </c>
      <c r="H71" s="91">
        <v>0</v>
      </c>
      <c r="I71" s="91">
        <v>0</v>
      </c>
      <c r="J71" s="91">
        <v>0</v>
      </c>
      <c r="K71" s="91">
        <v>0</v>
      </c>
      <c r="L71" s="91">
        <v>0</v>
      </c>
      <c r="M71" s="250">
        <v>0</v>
      </c>
      <c r="O71" s="89"/>
      <c r="P71" s="90"/>
      <c r="Q71" s="90"/>
    </row>
    <row r="72" spans="1:17" s="22" customFormat="1" ht="12" customHeight="1" hidden="1">
      <c r="A72" s="437"/>
      <c r="B72" s="96" t="s">
        <v>207</v>
      </c>
      <c r="C72" s="91">
        <v>0</v>
      </c>
      <c r="D72" s="91">
        <v>0</v>
      </c>
      <c r="E72" s="91">
        <v>0</v>
      </c>
      <c r="F72" s="91">
        <v>0</v>
      </c>
      <c r="G72" s="91">
        <v>0</v>
      </c>
      <c r="H72" s="91">
        <v>0</v>
      </c>
      <c r="I72" s="91">
        <v>0</v>
      </c>
      <c r="J72" s="91">
        <v>0</v>
      </c>
      <c r="K72" s="91">
        <v>0</v>
      </c>
      <c r="L72" s="91">
        <v>0</v>
      </c>
      <c r="M72" s="250">
        <v>0</v>
      </c>
      <c r="O72" s="89"/>
      <c r="P72" s="90"/>
      <c r="Q72" s="90"/>
    </row>
    <row r="73" spans="1:17" s="22" customFormat="1" ht="12" customHeight="1" hidden="1">
      <c r="A73" s="437"/>
      <c r="B73" s="96" t="s">
        <v>206</v>
      </c>
      <c r="C73" s="91">
        <v>0</v>
      </c>
      <c r="D73" s="91">
        <v>0</v>
      </c>
      <c r="E73" s="91">
        <v>0</v>
      </c>
      <c r="F73" s="91">
        <v>0</v>
      </c>
      <c r="G73" s="91">
        <v>0</v>
      </c>
      <c r="H73" s="91">
        <v>0</v>
      </c>
      <c r="I73" s="91">
        <v>0</v>
      </c>
      <c r="J73" s="91">
        <v>0</v>
      </c>
      <c r="K73" s="91">
        <v>0</v>
      </c>
      <c r="L73" s="91">
        <v>0</v>
      </c>
      <c r="M73" s="250">
        <v>0</v>
      </c>
      <c r="O73" s="89"/>
      <c r="P73" s="90"/>
      <c r="Q73" s="90"/>
    </row>
    <row r="74" spans="1:17" s="22" customFormat="1" ht="12" customHeight="1" hidden="1">
      <c r="A74" s="437"/>
      <c r="B74" s="96" t="s">
        <v>234</v>
      </c>
      <c r="C74" s="91">
        <v>0</v>
      </c>
      <c r="D74" s="91">
        <v>0</v>
      </c>
      <c r="E74" s="91">
        <v>0</v>
      </c>
      <c r="F74" s="91">
        <v>0</v>
      </c>
      <c r="G74" s="91">
        <v>0</v>
      </c>
      <c r="H74" s="91">
        <v>0</v>
      </c>
      <c r="I74" s="305">
        <v>0</v>
      </c>
      <c r="J74" s="91">
        <v>0</v>
      </c>
      <c r="K74" s="91">
        <v>0</v>
      </c>
      <c r="L74" s="91">
        <v>0</v>
      </c>
      <c r="M74" s="249">
        <v>0</v>
      </c>
      <c r="O74" s="89"/>
      <c r="P74" s="90"/>
      <c r="Q74" s="90"/>
    </row>
    <row r="75" spans="1:17" s="22" customFormat="1" ht="12" customHeight="1" hidden="1">
      <c r="A75" s="437"/>
      <c r="B75" s="96" t="s">
        <v>240</v>
      </c>
      <c r="C75" s="91">
        <v>0</v>
      </c>
      <c r="D75" s="91">
        <v>0</v>
      </c>
      <c r="E75" s="91">
        <v>0</v>
      </c>
      <c r="F75" s="91">
        <v>0</v>
      </c>
      <c r="G75" s="91">
        <v>0</v>
      </c>
      <c r="H75" s="91">
        <v>0</v>
      </c>
      <c r="I75" s="91">
        <v>0</v>
      </c>
      <c r="J75" s="91">
        <v>0</v>
      </c>
      <c r="K75" s="91">
        <v>0</v>
      </c>
      <c r="L75" s="91">
        <v>0</v>
      </c>
      <c r="M75" s="250">
        <v>0</v>
      </c>
      <c r="O75" s="89"/>
      <c r="P75" s="90"/>
      <c r="Q75" s="90"/>
    </row>
    <row r="76" spans="1:17" s="22" customFormat="1" ht="12" customHeight="1" hidden="1">
      <c r="A76" s="437"/>
      <c r="B76" s="96" t="s">
        <v>247</v>
      </c>
      <c r="C76" s="91">
        <v>0</v>
      </c>
      <c r="D76" s="91">
        <v>0</v>
      </c>
      <c r="E76" s="91">
        <v>0</v>
      </c>
      <c r="F76" s="91">
        <v>0</v>
      </c>
      <c r="G76" s="91">
        <v>0</v>
      </c>
      <c r="H76" s="91">
        <v>0</v>
      </c>
      <c r="I76" s="91">
        <v>0</v>
      </c>
      <c r="J76" s="91">
        <v>0</v>
      </c>
      <c r="K76" s="91">
        <v>0</v>
      </c>
      <c r="L76" s="91">
        <v>0</v>
      </c>
      <c r="M76" s="250">
        <v>0</v>
      </c>
      <c r="O76" s="89"/>
      <c r="P76" s="90"/>
      <c r="Q76" s="90"/>
    </row>
    <row r="77" spans="1:17" s="106" customFormat="1" ht="12" customHeight="1" hidden="1">
      <c r="A77" s="437"/>
      <c r="B77" s="96" t="s">
        <v>253</v>
      </c>
      <c r="C77" s="91">
        <v>0</v>
      </c>
      <c r="D77" s="91">
        <v>0</v>
      </c>
      <c r="E77" s="91">
        <v>0</v>
      </c>
      <c r="F77" s="91">
        <v>0</v>
      </c>
      <c r="G77" s="91">
        <v>0</v>
      </c>
      <c r="H77" s="91">
        <v>0</v>
      </c>
      <c r="I77" s="91">
        <v>0</v>
      </c>
      <c r="J77" s="91">
        <v>0</v>
      </c>
      <c r="K77" s="91">
        <v>0</v>
      </c>
      <c r="L77" s="91">
        <v>0</v>
      </c>
      <c r="M77" s="250">
        <v>0</v>
      </c>
      <c r="O77" s="269"/>
      <c r="P77" s="270"/>
      <c r="Q77" s="270"/>
    </row>
    <row r="78" spans="1:17" s="106" customFormat="1" ht="12" customHeight="1" hidden="1">
      <c r="A78" s="437"/>
      <c r="B78" s="96" t="s">
        <v>263</v>
      </c>
      <c r="C78" s="91">
        <v>0</v>
      </c>
      <c r="D78" s="91">
        <v>0</v>
      </c>
      <c r="E78" s="91">
        <v>0</v>
      </c>
      <c r="F78" s="91">
        <v>0</v>
      </c>
      <c r="G78" s="91">
        <v>0</v>
      </c>
      <c r="H78" s="91">
        <v>0</v>
      </c>
      <c r="I78" s="91">
        <v>0</v>
      </c>
      <c r="J78" s="91">
        <v>0</v>
      </c>
      <c r="K78" s="91">
        <v>0</v>
      </c>
      <c r="L78" s="91">
        <v>0</v>
      </c>
      <c r="M78" s="250">
        <v>0</v>
      </c>
      <c r="O78" s="269"/>
      <c r="P78" s="270"/>
      <c r="Q78" s="270"/>
    </row>
    <row r="79" spans="1:17" s="106" customFormat="1" ht="12" customHeight="1" hidden="1">
      <c r="A79" s="437"/>
      <c r="B79" s="96" t="s">
        <v>274</v>
      </c>
      <c r="C79" s="91">
        <f aca="true" t="shared" si="9" ref="C79:C87">SUM(D79:G79)</f>
        <v>0</v>
      </c>
      <c r="D79" s="91">
        <v>0</v>
      </c>
      <c r="E79" s="91">
        <v>0</v>
      </c>
      <c r="F79" s="91">
        <v>0</v>
      </c>
      <c r="G79" s="91">
        <v>0</v>
      </c>
      <c r="H79" s="91">
        <f aca="true" t="shared" si="10" ref="H79:H84">SUM(I79:L79)</f>
        <v>0</v>
      </c>
      <c r="I79" s="91">
        <v>0</v>
      </c>
      <c r="J79" s="91">
        <v>0</v>
      </c>
      <c r="K79" s="91">
        <v>0</v>
      </c>
      <c r="L79" s="91">
        <v>0</v>
      </c>
      <c r="M79" s="250">
        <v>0</v>
      </c>
      <c r="O79" s="269"/>
      <c r="P79" s="270"/>
      <c r="Q79" s="270"/>
    </row>
    <row r="80" spans="1:17" s="106" customFormat="1" ht="12" customHeight="1">
      <c r="A80" s="437"/>
      <c r="B80" s="96" t="s">
        <v>302</v>
      </c>
      <c r="C80" s="91">
        <f t="shared" si="9"/>
        <v>0</v>
      </c>
      <c r="D80" s="91">
        <v>0</v>
      </c>
      <c r="E80" s="91">
        <v>0</v>
      </c>
      <c r="F80" s="91">
        <v>0</v>
      </c>
      <c r="G80" s="91">
        <v>0</v>
      </c>
      <c r="H80" s="91">
        <f t="shared" si="10"/>
        <v>0</v>
      </c>
      <c r="I80" s="91">
        <v>0</v>
      </c>
      <c r="J80" s="91">
        <v>0</v>
      </c>
      <c r="K80" s="91">
        <v>0</v>
      </c>
      <c r="L80" s="91">
        <v>0</v>
      </c>
      <c r="M80" s="250">
        <v>0</v>
      </c>
      <c r="O80" s="269"/>
      <c r="P80" s="270"/>
      <c r="Q80" s="270"/>
    </row>
    <row r="81" spans="1:17" s="106" customFormat="1" ht="12" customHeight="1">
      <c r="A81" s="437"/>
      <c r="B81" s="96" t="s">
        <v>310</v>
      </c>
      <c r="C81" s="91">
        <f t="shared" si="9"/>
        <v>0</v>
      </c>
      <c r="D81" s="91">
        <v>0</v>
      </c>
      <c r="E81" s="91">
        <v>0</v>
      </c>
      <c r="F81" s="91">
        <v>0</v>
      </c>
      <c r="G81" s="91">
        <v>0</v>
      </c>
      <c r="H81" s="91">
        <f t="shared" si="10"/>
        <v>0</v>
      </c>
      <c r="I81" s="91">
        <v>0</v>
      </c>
      <c r="J81" s="91">
        <v>0</v>
      </c>
      <c r="K81" s="91">
        <v>0</v>
      </c>
      <c r="L81" s="91">
        <v>0</v>
      </c>
      <c r="M81" s="250">
        <v>0</v>
      </c>
      <c r="O81" s="269"/>
      <c r="P81" s="270"/>
      <c r="Q81" s="270"/>
    </row>
    <row r="82" spans="1:17" s="106" customFormat="1" ht="12" customHeight="1">
      <c r="A82" s="437"/>
      <c r="B82" s="96" t="s">
        <v>318</v>
      </c>
      <c r="C82" s="91">
        <f t="shared" si="9"/>
        <v>0</v>
      </c>
      <c r="D82" s="91">
        <v>0</v>
      </c>
      <c r="E82" s="91">
        <v>0</v>
      </c>
      <c r="F82" s="91">
        <v>0</v>
      </c>
      <c r="G82" s="91">
        <v>0</v>
      </c>
      <c r="H82" s="91">
        <f t="shared" si="10"/>
        <v>0</v>
      </c>
      <c r="I82" s="91">
        <v>0</v>
      </c>
      <c r="J82" s="91">
        <v>0</v>
      </c>
      <c r="K82" s="91">
        <v>0</v>
      </c>
      <c r="L82" s="91">
        <v>0</v>
      </c>
      <c r="M82" s="250">
        <v>0</v>
      </c>
      <c r="O82" s="269"/>
      <c r="P82" s="270"/>
      <c r="Q82" s="270"/>
    </row>
    <row r="83" spans="1:17" s="106" customFormat="1" ht="15" customHeight="1">
      <c r="A83" s="437"/>
      <c r="B83" s="96" t="s">
        <v>325</v>
      </c>
      <c r="C83" s="91">
        <f t="shared" si="9"/>
        <v>0</v>
      </c>
      <c r="D83" s="91">
        <v>0</v>
      </c>
      <c r="E83" s="91">
        <v>0</v>
      </c>
      <c r="F83" s="91">
        <v>0</v>
      </c>
      <c r="G83" s="91">
        <v>0</v>
      </c>
      <c r="H83" s="91">
        <f t="shared" si="10"/>
        <v>0</v>
      </c>
      <c r="I83" s="91">
        <v>0</v>
      </c>
      <c r="J83" s="91">
        <v>0</v>
      </c>
      <c r="K83" s="91">
        <v>0</v>
      </c>
      <c r="L83" s="91">
        <v>0</v>
      </c>
      <c r="M83" s="250">
        <v>0</v>
      </c>
      <c r="O83" s="269"/>
      <c r="P83" s="270"/>
      <c r="Q83" s="270"/>
    </row>
    <row r="84" spans="1:17" s="22" customFormat="1" ht="12" customHeight="1" thickBot="1">
      <c r="A84" s="513"/>
      <c r="B84" s="307" t="s">
        <v>425</v>
      </c>
      <c r="C84" s="304">
        <f t="shared" si="9"/>
        <v>0</v>
      </c>
      <c r="D84" s="304">
        <v>0</v>
      </c>
      <c r="E84" s="304">
        <v>0</v>
      </c>
      <c r="F84" s="304">
        <v>0</v>
      </c>
      <c r="G84" s="304">
        <v>0</v>
      </c>
      <c r="H84" s="304">
        <f t="shared" si="10"/>
        <v>0</v>
      </c>
      <c r="I84" s="304">
        <v>0</v>
      </c>
      <c r="J84" s="304">
        <v>0</v>
      </c>
      <c r="K84" s="304">
        <v>0</v>
      </c>
      <c r="L84" s="304">
        <v>0</v>
      </c>
      <c r="M84" s="514">
        <v>0</v>
      </c>
      <c r="N84" s="106"/>
      <c r="O84" s="89"/>
      <c r="P84" s="90"/>
      <c r="Q84" s="90"/>
    </row>
    <row r="85" spans="1:17" s="22" customFormat="1" ht="12" customHeight="1" hidden="1">
      <c r="A85" s="512"/>
      <c r="B85" s="96" t="s">
        <v>185</v>
      </c>
      <c r="C85" s="217">
        <f t="shared" si="9"/>
        <v>299935</v>
      </c>
      <c r="D85" s="91">
        <v>118851</v>
      </c>
      <c r="E85" s="91">
        <v>21999</v>
      </c>
      <c r="F85" s="91">
        <v>90334</v>
      </c>
      <c r="G85" s="91">
        <v>68751</v>
      </c>
      <c r="H85" s="107">
        <v>377734</v>
      </c>
      <c r="I85" s="107">
        <v>139454</v>
      </c>
      <c r="J85" s="107">
        <v>25142</v>
      </c>
      <c r="K85" s="107">
        <v>128691</v>
      </c>
      <c r="L85" s="107">
        <v>84447</v>
      </c>
      <c r="M85" s="249">
        <f>I85/H85*100</f>
        <v>36.91857232867574</v>
      </c>
      <c r="O85" s="89"/>
      <c r="P85" s="90"/>
      <c r="Q85" s="90"/>
    </row>
    <row r="86" spans="1:17" s="22" customFormat="1" ht="12" customHeight="1" hidden="1">
      <c r="A86" s="512"/>
      <c r="B86" s="96" t="s">
        <v>186</v>
      </c>
      <c r="C86" s="91">
        <f t="shared" si="9"/>
        <v>340196</v>
      </c>
      <c r="D86" s="91">
        <v>134624</v>
      </c>
      <c r="E86" s="91">
        <v>24626</v>
      </c>
      <c r="F86" s="91">
        <v>95897</v>
      </c>
      <c r="G86" s="91">
        <v>85049</v>
      </c>
      <c r="H86" s="107">
        <f>SUM(I86:L86)</f>
        <v>426546</v>
      </c>
      <c r="I86" s="107">
        <v>158817</v>
      </c>
      <c r="J86" s="107">
        <v>28462</v>
      </c>
      <c r="K86" s="107">
        <v>134965</v>
      </c>
      <c r="L86" s="107">
        <v>104302</v>
      </c>
      <c r="M86" s="249">
        <f>+I86/H86*100</f>
        <v>37.23326440759027</v>
      </c>
      <c r="O86" s="89"/>
      <c r="P86" s="90"/>
      <c r="Q86" s="90"/>
    </row>
    <row r="87" spans="1:17" s="22" customFormat="1" ht="12" customHeight="1" hidden="1">
      <c r="A87" s="512"/>
      <c r="B87" s="96" t="s">
        <v>190</v>
      </c>
      <c r="C87" s="91">
        <f t="shared" si="9"/>
        <v>373398</v>
      </c>
      <c r="D87" s="91">
        <v>158889</v>
      </c>
      <c r="E87" s="91">
        <v>27898</v>
      </c>
      <c r="F87" s="91">
        <v>108068</v>
      </c>
      <c r="G87" s="91">
        <v>78543</v>
      </c>
      <c r="H87" s="107">
        <f>SUM(I87:L87)</f>
        <v>474688</v>
      </c>
      <c r="I87" s="107">
        <v>189943</v>
      </c>
      <c r="J87" s="107">
        <v>32729</v>
      </c>
      <c r="K87" s="107">
        <v>154805</v>
      </c>
      <c r="L87" s="107">
        <v>97211</v>
      </c>
      <c r="M87" s="249">
        <f>+I87/H87*100</f>
        <v>40.014283065929625</v>
      </c>
      <c r="O87" s="89"/>
      <c r="P87" s="90"/>
      <c r="Q87" s="90"/>
    </row>
    <row r="88" spans="1:17" s="22" customFormat="1" ht="12" customHeight="1" hidden="1">
      <c r="A88" s="512"/>
      <c r="B88" s="96" t="s">
        <v>207</v>
      </c>
      <c r="C88" s="91">
        <v>402115</v>
      </c>
      <c r="D88" s="91">
        <v>188422</v>
      </c>
      <c r="E88" s="91">
        <v>29467</v>
      </c>
      <c r="F88" s="91">
        <v>113248</v>
      </c>
      <c r="G88" s="91">
        <v>70978</v>
      </c>
      <c r="H88" s="107">
        <v>506648</v>
      </c>
      <c r="I88" s="107">
        <v>221486</v>
      </c>
      <c r="J88" s="107">
        <v>35075</v>
      </c>
      <c r="K88" s="107">
        <v>159291</v>
      </c>
      <c r="L88" s="107">
        <v>90796</v>
      </c>
      <c r="M88" s="249">
        <v>43.71595269299395</v>
      </c>
      <c r="O88" s="89"/>
      <c r="P88" s="90"/>
      <c r="Q88" s="90"/>
    </row>
    <row r="89" spans="1:17" s="22" customFormat="1" ht="12" customHeight="1" hidden="1">
      <c r="A89" s="512"/>
      <c r="B89" s="96" t="s">
        <v>254</v>
      </c>
      <c r="C89" s="91">
        <v>413125</v>
      </c>
      <c r="D89" s="91">
        <v>199374</v>
      </c>
      <c r="E89" s="91">
        <v>32162</v>
      </c>
      <c r="F89" s="91">
        <v>114651</v>
      </c>
      <c r="G89" s="91">
        <v>66938</v>
      </c>
      <c r="H89" s="107">
        <v>526143</v>
      </c>
      <c r="I89" s="107">
        <v>231813</v>
      </c>
      <c r="J89" s="107">
        <v>36977</v>
      </c>
      <c r="K89" s="107">
        <v>167633</v>
      </c>
      <c r="L89" s="107">
        <v>89720</v>
      </c>
      <c r="M89" s="249">
        <v>44.05893454821218</v>
      </c>
      <c r="O89" s="89"/>
      <c r="P89" s="90"/>
      <c r="Q89" s="90"/>
    </row>
    <row r="90" spans="1:17" s="22" customFormat="1" ht="12" customHeight="1" hidden="1">
      <c r="A90" s="512"/>
      <c r="B90" s="96" t="s">
        <v>234</v>
      </c>
      <c r="C90" s="91">
        <f aca="true" t="shared" si="11" ref="C90:C96">SUM(D90:G90)</f>
        <v>406896</v>
      </c>
      <c r="D90" s="91">
        <f>85023+102156</f>
        <v>187179</v>
      </c>
      <c r="E90" s="91">
        <v>33894</v>
      </c>
      <c r="F90" s="91">
        <f>6773+112722</f>
        <v>119495</v>
      </c>
      <c r="G90" s="91">
        <v>66328</v>
      </c>
      <c r="H90" s="107">
        <f aca="true" t="shared" si="12" ref="H90:H96">SUM(I90:L90)</f>
        <v>518747</v>
      </c>
      <c r="I90" s="107">
        <f>105845+110695</f>
        <v>216540</v>
      </c>
      <c r="J90" s="107">
        <v>39387</v>
      </c>
      <c r="K90" s="107">
        <f>10061+162401</f>
        <v>172462</v>
      </c>
      <c r="L90" s="107">
        <v>90358</v>
      </c>
      <c r="M90" s="249" t="s">
        <v>343</v>
      </c>
      <c r="O90" s="89"/>
      <c r="P90" s="90"/>
      <c r="Q90" s="90"/>
    </row>
    <row r="91" spans="1:17" s="22" customFormat="1" ht="12" customHeight="1" hidden="1">
      <c r="A91" s="512"/>
      <c r="B91" s="96" t="s">
        <v>239</v>
      </c>
      <c r="C91" s="217">
        <f t="shared" si="11"/>
        <v>410387</v>
      </c>
      <c r="D91" s="91">
        <f>88716+98708</f>
        <v>187424</v>
      </c>
      <c r="E91" s="91">
        <v>37614</v>
      </c>
      <c r="F91" s="91">
        <f>5752+117746</f>
        <v>123498</v>
      </c>
      <c r="G91" s="91">
        <v>61851</v>
      </c>
      <c r="H91" s="107">
        <f t="shared" si="12"/>
        <v>305444</v>
      </c>
      <c r="I91" s="107">
        <v>0</v>
      </c>
      <c r="J91" s="107">
        <v>44514</v>
      </c>
      <c r="K91" s="107">
        <f>9053+169636</f>
        <v>178689</v>
      </c>
      <c r="L91" s="107">
        <v>82241</v>
      </c>
      <c r="M91" s="249">
        <f aca="true" t="shared" si="13" ref="M91:M96">I91/H91*100</f>
        <v>0</v>
      </c>
      <c r="O91" s="89"/>
      <c r="P91" s="90"/>
      <c r="Q91" s="90"/>
    </row>
    <row r="92" spans="1:17" s="22" customFormat="1" ht="12" customHeight="1" hidden="1">
      <c r="A92" s="512"/>
      <c r="B92" s="96" t="s">
        <v>247</v>
      </c>
      <c r="C92" s="91">
        <f t="shared" si="11"/>
        <v>400893</v>
      </c>
      <c r="D92" s="91">
        <f>88338+93713</f>
        <v>182051</v>
      </c>
      <c r="E92" s="91">
        <v>43119</v>
      </c>
      <c r="F92" s="91">
        <f>117491+5228</f>
        <v>122719</v>
      </c>
      <c r="G92" s="91">
        <v>53004</v>
      </c>
      <c r="H92" s="107">
        <f t="shared" si="12"/>
        <v>508257</v>
      </c>
      <c r="I92" s="107">
        <f>111005+100778</f>
        <v>211783</v>
      </c>
      <c r="J92" s="107">
        <v>49442</v>
      </c>
      <c r="K92" s="107">
        <f>8787+168939</f>
        <v>177726</v>
      </c>
      <c r="L92" s="107">
        <v>69306</v>
      </c>
      <c r="M92" s="249">
        <f t="shared" si="13"/>
        <v>41.66848661208798</v>
      </c>
      <c r="O92" s="89"/>
      <c r="P92" s="90"/>
      <c r="Q92" s="90"/>
    </row>
    <row r="93" spans="1:17" s="22" customFormat="1" ht="12" customHeight="1" hidden="1">
      <c r="A93" s="512"/>
      <c r="B93" s="96" t="s">
        <v>252</v>
      </c>
      <c r="C93" s="91">
        <f t="shared" si="11"/>
        <v>391763</v>
      </c>
      <c r="D93" s="91">
        <f>85871+90508</f>
        <v>176379</v>
      </c>
      <c r="E93" s="91">
        <v>42218</v>
      </c>
      <c r="F93" s="91">
        <f>116839+5181</f>
        <v>122020</v>
      </c>
      <c r="G93" s="91">
        <v>51146</v>
      </c>
      <c r="H93" s="107">
        <f t="shared" si="12"/>
        <v>494883</v>
      </c>
      <c r="I93" s="107">
        <f>106765+96995</f>
        <v>203760</v>
      </c>
      <c r="J93" s="107">
        <v>48884</v>
      </c>
      <c r="K93" s="107">
        <f>7348+167650</f>
        <v>174998</v>
      </c>
      <c r="L93" s="107">
        <v>67241</v>
      </c>
      <c r="M93" s="249">
        <f t="shared" si="13"/>
        <v>41.173368250677434</v>
      </c>
      <c r="O93" s="89"/>
      <c r="P93" s="90"/>
      <c r="Q93" s="90"/>
    </row>
    <row r="94" spans="1:17" s="106" customFormat="1" ht="12" customHeight="1" hidden="1">
      <c r="A94" s="512"/>
      <c r="B94" s="96" t="s">
        <v>264</v>
      </c>
      <c r="C94" s="91">
        <f t="shared" si="11"/>
        <v>393998</v>
      </c>
      <c r="D94" s="91">
        <f>86277+94231</f>
        <v>180508</v>
      </c>
      <c r="E94" s="91">
        <f>42171</f>
        <v>42171</v>
      </c>
      <c r="F94" s="91">
        <f>5732+115818</f>
        <v>121550</v>
      </c>
      <c r="G94" s="91">
        <v>49769</v>
      </c>
      <c r="H94" s="107">
        <f t="shared" si="12"/>
        <v>496964</v>
      </c>
      <c r="I94" s="107">
        <f>108471+99791</f>
        <v>208262</v>
      </c>
      <c r="J94" s="107">
        <v>48747</v>
      </c>
      <c r="K94" s="107">
        <f>7620+166059</f>
        <v>173679</v>
      </c>
      <c r="L94" s="107">
        <v>66276</v>
      </c>
      <c r="M94" s="249">
        <f t="shared" si="13"/>
        <v>41.90685844447486</v>
      </c>
      <c r="O94" s="269"/>
      <c r="P94" s="270"/>
      <c r="Q94" s="270"/>
    </row>
    <row r="95" spans="1:17" s="106" customFormat="1" ht="12" customHeight="1" hidden="1">
      <c r="A95" s="512"/>
      <c r="B95" s="96" t="s">
        <v>273</v>
      </c>
      <c r="C95" s="217">
        <f>SUM(D95:G95)</f>
        <v>410133</v>
      </c>
      <c r="D95" s="91">
        <v>192915</v>
      </c>
      <c r="E95" s="91">
        <v>45080</v>
      </c>
      <c r="F95" s="91">
        <v>122598</v>
      </c>
      <c r="G95" s="91">
        <v>49540</v>
      </c>
      <c r="H95" s="107">
        <f t="shared" si="12"/>
        <v>511049</v>
      </c>
      <c r="I95" s="107">
        <v>219121</v>
      </c>
      <c r="J95" s="107">
        <v>51427</v>
      </c>
      <c r="K95" s="107">
        <v>175650</v>
      </c>
      <c r="L95" s="107">
        <v>64851</v>
      </c>
      <c r="M95" s="249">
        <f t="shared" si="13"/>
        <v>42.87671045242237</v>
      </c>
      <c r="O95" s="269"/>
      <c r="P95" s="270"/>
      <c r="Q95" s="270"/>
    </row>
    <row r="96" spans="1:17" s="106" customFormat="1" ht="12" customHeight="1" hidden="1">
      <c r="A96" s="512"/>
      <c r="B96" s="96" t="s">
        <v>276</v>
      </c>
      <c r="C96" s="217">
        <f t="shared" si="11"/>
        <v>425454</v>
      </c>
      <c r="D96" s="91">
        <v>199963</v>
      </c>
      <c r="E96" s="91">
        <v>41060</v>
      </c>
      <c r="F96" s="91">
        <v>130645</v>
      </c>
      <c r="G96" s="91">
        <v>53786</v>
      </c>
      <c r="H96" s="107">
        <f t="shared" si="12"/>
        <v>529775</v>
      </c>
      <c r="I96" s="107">
        <v>226278</v>
      </c>
      <c r="J96" s="107">
        <v>47743</v>
      </c>
      <c r="K96" s="107">
        <v>186278</v>
      </c>
      <c r="L96" s="107">
        <v>69476</v>
      </c>
      <c r="M96" s="249">
        <f t="shared" si="13"/>
        <v>42.71209475720825</v>
      </c>
      <c r="O96" s="269"/>
      <c r="P96" s="270"/>
      <c r="Q96" s="270"/>
    </row>
    <row r="97" spans="1:17" s="106" customFormat="1" ht="12" customHeight="1" hidden="1">
      <c r="A97" s="512"/>
      <c r="B97" s="96" t="s">
        <v>302</v>
      </c>
      <c r="C97" s="217">
        <f>SUM(D97:G97)</f>
        <v>453422</v>
      </c>
      <c r="D97" s="91">
        <f>101757+108156</f>
        <v>209913</v>
      </c>
      <c r="E97" s="91">
        <v>38601</v>
      </c>
      <c r="F97" s="91">
        <f>5643+132270</f>
        <v>137913</v>
      </c>
      <c r="G97" s="91">
        <v>66995</v>
      </c>
      <c r="H97" s="107">
        <f>SUM(I97:L97)</f>
        <v>558404</v>
      </c>
      <c r="I97" s="107">
        <f>122890+112659</f>
        <v>235549</v>
      </c>
      <c r="J97" s="107">
        <v>43482</v>
      </c>
      <c r="K97" s="107">
        <f>6952+184972</f>
        <v>191924</v>
      </c>
      <c r="L97" s="107">
        <v>87449</v>
      </c>
      <c r="M97" s="249">
        <f>I97/H97*100</f>
        <v>42.18254167233759</v>
      </c>
      <c r="O97" s="269"/>
      <c r="P97" s="270"/>
      <c r="Q97" s="270"/>
    </row>
    <row r="98" spans="1:17" s="106" customFormat="1" ht="12" customHeight="1" hidden="1">
      <c r="A98" s="512"/>
      <c r="B98" s="96" t="s">
        <v>311</v>
      </c>
      <c r="C98" s="91">
        <f>SUM(D98:G98)</f>
        <v>479087</v>
      </c>
      <c r="D98" s="299">
        <f>103764+111740</f>
        <v>215504</v>
      </c>
      <c r="E98" s="299">
        <v>42820</v>
      </c>
      <c r="F98" s="299">
        <f>6210+145740</f>
        <v>151950</v>
      </c>
      <c r="G98" s="299">
        <v>68813</v>
      </c>
      <c r="H98" s="300">
        <f>SUM(I98:L98)</f>
        <v>584350</v>
      </c>
      <c r="I98" s="299">
        <f>123514+115969</f>
        <v>239483</v>
      </c>
      <c r="J98" s="299">
        <v>46818</v>
      </c>
      <c r="K98" s="299">
        <f>7410+199625</f>
        <v>207035</v>
      </c>
      <c r="L98" s="299">
        <v>91014</v>
      </c>
      <c r="M98" s="249">
        <f>I98/H98*100</f>
        <v>40.98280140326859</v>
      </c>
      <c r="O98" s="269"/>
      <c r="P98" s="270"/>
      <c r="Q98" s="270"/>
    </row>
    <row r="99" spans="1:17" s="106" customFormat="1" ht="12" customHeight="1" hidden="1">
      <c r="A99" s="512"/>
      <c r="B99" s="96" t="s">
        <v>318</v>
      </c>
      <c r="C99" s="91">
        <f>SUM(D99:G99)</f>
        <v>482034</v>
      </c>
      <c r="D99" s="299">
        <f>104543+109312</f>
        <v>213855</v>
      </c>
      <c r="E99" s="299">
        <v>41268</v>
      </c>
      <c r="F99" s="299">
        <f>6866+149406</f>
        <v>156272</v>
      </c>
      <c r="G99" s="299">
        <v>70639</v>
      </c>
      <c r="H99" s="299">
        <f>SUM(I99:L99)</f>
        <v>594320</v>
      </c>
      <c r="I99" s="299">
        <f>124857+113711</f>
        <v>238568</v>
      </c>
      <c r="J99" s="299">
        <v>45971</v>
      </c>
      <c r="K99" s="299">
        <f>10122+205150</f>
        <v>215272</v>
      </c>
      <c r="L99" s="299">
        <v>94509</v>
      </c>
      <c r="M99" s="314">
        <f>I99/H99*100</f>
        <v>40.14133799973079</v>
      </c>
      <c r="O99" s="269"/>
      <c r="P99" s="270"/>
      <c r="Q99" s="270"/>
    </row>
    <row r="100" spans="1:17" s="106" customFormat="1" ht="0.75" customHeight="1" hidden="1" thickBot="1">
      <c r="A100" s="512"/>
      <c r="B100" s="307" t="s">
        <v>326</v>
      </c>
      <c r="C100" s="304">
        <f>SUM(D100:G100)</f>
        <v>474108</v>
      </c>
      <c r="D100" s="306">
        <f>104433+102055</f>
        <v>206488</v>
      </c>
      <c r="E100" s="306">
        <v>38192</v>
      </c>
      <c r="F100" s="306">
        <f>7506+155920</f>
        <v>163426</v>
      </c>
      <c r="G100" s="306">
        <v>66002</v>
      </c>
      <c r="H100" s="306">
        <f>SUM(I100:L100)</f>
        <v>591304</v>
      </c>
      <c r="I100" s="306">
        <f>126222+106342</f>
        <v>232564</v>
      </c>
      <c r="J100" s="306">
        <v>42788</v>
      </c>
      <c r="K100" s="306">
        <f>9563+216223</f>
        <v>225786</v>
      </c>
      <c r="L100" s="306">
        <v>90166</v>
      </c>
      <c r="M100" s="322">
        <f>I100/H100*100</f>
        <v>39.330699606293884</v>
      </c>
      <c r="O100" s="269"/>
      <c r="P100" s="270"/>
      <c r="Q100" s="270"/>
    </row>
    <row r="101" ht="16.5" customHeight="1" hidden="1">
      <c r="A101" s="512"/>
    </row>
    <row r="102" spans="1:14" ht="16.5">
      <c r="A102" s="438" t="s">
        <v>461</v>
      </c>
      <c r="B102" s="22" t="s">
        <v>432</v>
      </c>
      <c r="C102" s="22"/>
      <c r="D102" s="22"/>
      <c r="E102" s="22"/>
      <c r="F102" s="22"/>
      <c r="G102" s="22"/>
      <c r="H102" s="22"/>
      <c r="I102" s="22"/>
      <c r="J102" s="22"/>
      <c r="K102" s="22"/>
      <c r="L102" s="22"/>
      <c r="M102" s="405"/>
      <c r="N102" s="22"/>
    </row>
    <row r="103" spans="1:13" ht="16.5">
      <c r="A103" s="438"/>
      <c r="B103" s="22" t="s">
        <v>302</v>
      </c>
      <c r="C103" s="22">
        <v>453422</v>
      </c>
      <c r="D103" s="22">
        <v>209913</v>
      </c>
      <c r="E103" s="22">
        <v>38601</v>
      </c>
      <c r="F103" s="22">
        <v>137913</v>
      </c>
      <c r="G103" s="22">
        <v>66995</v>
      </c>
      <c r="H103" s="22">
        <v>558404</v>
      </c>
      <c r="I103" s="22">
        <v>235549</v>
      </c>
      <c r="J103" s="22">
        <v>43482</v>
      </c>
      <c r="K103" s="22">
        <v>191924</v>
      </c>
      <c r="L103" s="405">
        <v>87449</v>
      </c>
      <c r="M103" s="22">
        <f>ROUND(I103/H103*100,1)</f>
        <v>42.2</v>
      </c>
    </row>
    <row r="104" spans="1:13" ht="16.5">
      <c r="A104" s="438"/>
      <c r="B104" s="22" t="s">
        <v>309</v>
      </c>
      <c r="C104" s="22">
        <v>479087</v>
      </c>
      <c r="D104" s="22">
        <v>215504</v>
      </c>
      <c r="E104" s="22">
        <v>42820</v>
      </c>
      <c r="F104" s="22">
        <v>151950</v>
      </c>
      <c r="G104" s="22">
        <v>68813</v>
      </c>
      <c r="H104" s="22">
        <v>584350</v>
      </c>
      <c r="I104" s="22">
        <v>239483</v>
      </c>
      <c r="J104" s="22">
        <v>46818</v>
      </c>
      <c r="K104" s="22">
        <v>207035</v>
      </c>
      <c r="L104" s="405">
        <v>91014</v>
      </c>
      <c r="M104" s="22">
        <f>ROUND(I104/H104*100,1)</f>
        <v>41</v>
      </c>
    </row>
    <row r="105" spans="1:13" ht="16.5">
      <c r="A105" s="438"/>
      <c r="B105" s="22" t="s">
        <v>318</v>
      </c>
      <c r="C105" s="22">
        <v>482034</v>
      </c>
      <c r="D105" s="22">
        <v>213855</v>
      </c>
      <c r="E105" s="22">
        <v>41268</v>
      </c>
      <c r="F105" s="22">
        <v>156272</v>
      </c>
      <c r="G105" s="22">
        <v>70639</v>
      </c>
      <c r="H105" s="22">
        <v>594320</v>
      </c>
      <c r="I105" s="22">
        <v>238568</v>
      </c>
      <c r="J105" s="22">
        <v>45971</v>
      </c>
      <c r="K105" s="22">
        <v>215272</v>
      </c>
      <c r="L105" s="405">
        <v>94509</v>
      </c>
      <c r="M105" s="22">
        <f>ROUND(I105/H105*100,1)</f>
        <v>40.1</v>
      </c>
    </row>
    <row r="106" spans="1:13" ht="16.5">
      <c r="A106" s="438"/>
      <c r="B106" s="22" t="s">
        <v>433</v>
      </c>
      <c r="C106" s="22">
        <v>474108</v>
      </c>
      <c r="D106" s="22">
        <v>206488</v>
      </c>
      <c r="E106" s="22">
        <v>38192</v>
      </c>
      <c r="F106" s="22">
        <v>163426</v>
      </c>
      <c r="G106" s="22">
        <v>66002</v>
      </c>
      <c r="H106" s="22">
        <v>591304</v>
      </c>
      <c r="I106" s="22">
        <v>232564</v>
      </c>
      <c r="J106" s="22">
        <v>42788</v>
      </c>
      <c r="K106" s="22">
        <v>225786</v>
      </c>
      <c r="L106" s="405">
        <v>90166</v>
      </c>
      <c r="M106" s="22">
        <f>ROUND(I106/H106*100,1)</f>
        <v>39.3</v>
      </c>
    </row>
    <row r="107" spans="1:14" ht="16.5">
      <c r="A107" s="438"/>
      <c r="B107" s="22" t="s">
        <v>434</v>
      </c>
      <c r="C107" s="22">
        <v>484565</v>
      </c>
      <c r="D107" s="22">
        <v>198809</v>
      </c>
      <c r="E107" s="22">
        <v>35683</v>
      </c>
      <c r="F107" s="22">
        <v>178628</v>
      </c>
      <c r="G107" s="22">
        <v>71445</v>
      </c>
      <c r="H107" s="22">
        <v>619134</v>
      </c>
      <c r="I107" s="22">
        <v>227505</v>
      </c>
      <c r="J107" s="22">
        <v>40084</v>
      </c>
      <c r="K107" s="22">
        <v>247596</v>
      </c>
      <c r="L107" s="22">
        <v>103949</v>
      </c>
      <c r="M107" s="511">
        <f>ROUND(I107/H107*100,1)</f>
        <v>36.7</v>
      </c>
      <c r="N107" s="22"/>
    </row>
    <row r="108" ht="16.5">
      <c r="A108" s="512"/>
    </row>
    <row r="109" ht="16.5">
      <c r="A109" s="512"/>
    </row>
    <row r="110" ht="16.5">
      <c r="A110" s="512"/>
    </row>
    <row r="111" ht="16.5">
      <c r="A111" s="512"/>
    </row>
    <row r="112" ht="16.5">
      <c r="A112" s="512"/>
    </row>
    <row r="113" ht="16.5">
      <c r="A113" s="512"/>
    </row>
    <row r="114" ht="16.5">
      <c r="A114" s="512"/>
    </row>
    <row r="115" ht="16.5">
      <c r="A115" s="512"/>
    </row>
    <row r="116" ht="16.5">
      <c r="A116" s="512"/>
    </row>
    <row r="117" ht="16.5">
      <c r="A117" s="512"/>
    </row>
    <row r="118" ht="16.5">
      <c r="A118" s="512"/>
    </row>
    <row r="119" ht="16.5">
      <c r="A119" s="512"/>
    </row>
    <row r="120" ht="16.5">
      <c r="A120" s="512"/>
    </row>
    <row r="121" ht="16.5">
      <c r="A121" s="512"/>
    </row>
    <row r="122" ht="16.5">
      <c r="A122" s="512"/>
    </row>
    <row r="123" ht="16.5">
      <c r="A123" s="512"/>
    </row>
    <row r="124" ht="16.5">
      <c r="A124" s="512"/>
    </row>
    <row r="125" ht="16.5">
      <c r="A125" s="512"/>
    </row>
    <row r="126" ht="16.5">
      <c r="A126" s="512"/>
    </row>
    <row r="127" ht="16.5">
      <c r="A127" s="512"/>
    </row>
    <row r="128" ht="16.5">
      <c r="A128" s="512"/>
    </row>
    <row r="129" ht="16.5">
      <c r="A129" s="512"/>
    </row>
    <row r="130" ht="16.5">
      <c r="A130" s="512"/>
    </row>
    <row r="131" ht="16.5">
      <c r="A131" s="425"/>
    </row>
    <row r="132" ht="16.5">
      <c r="A132" s="425"/>
    </row>
    <row r="133" ht="16.5">
      <c r="A133" s="425"/>
    </row>
    <row r="134" ht="16.5">
      <c r="A134" s="425"/>
    </row>
    <row r="135" ht="16.5">
      <c r="A135" s="425"/>
    </row>
    <row r="136" ht="16.5">
      <c r="A136" s="425"/>
    </row>
    <row r="137" ht="16.5">
      <c r="A137" s="425"/>
    </row>
    <row r="138" ht="16.5">
      <c r="A138" s="425"/>
    </row>
    <row r="139" ht="16.5">
      <c r="A139" s="425"/>
    </row>
    <row r="140" ht="16.5">
      <c r="A140" s="425"/>
    </row>
    <row r="141" ht="16.5">
      <c r="A141" s="425"/>
    </row>
    <row r="142" ht="16.5">
      <c r="A142" s="425"/>
    </row>
    <row r="143" ht="16.5">
      <c r="A143" s="425"/>
    </row>
    <row r="144" ht="16.5">
      <c r="A144" s="425"/>
    </row>
  </sheetData>
  <sheetProtection/>
  <mergeCells count="3">
    <mergeCell ref="A4:B5"/>
    <mergeCell ref="A6:A84"/>
    <mergeCell ref="A102:A107"/>
  </mergeCells>
  <printOptions horizontalCentered="1" verticalCentered="1"/>
  <pageMargins left="0.15748031496062992" right="0.15748031496062992" top="0.1968503937007874" bottom="0" header="0.31496062992125984" footer="0.31496062992125984"/>
  <pageSetup horizontalDpi="600" verticalDpi="600" orientation="landscape" paperSize="9" r:id="rId3"/>
  <ignoredErrors>
    <ignoredError sqref="C79 C80" formulaRange="1"/>
  </ignoredErrors>
  <legacyDrawing r:id="rId2"/>
</worksheet>
</file>

<file path=xl/worksheets/sheet3.xml><?xml version="1.0" encoding="utf-8"?>
<worksheet xmlns="http://schemas.openxmlformats.org/spreadsheetml/2006/main" xmlns:r="http://schemas.openxmlformats.org/officeDocument/2006/relationships">
  <dimension ref="A1:R57"/>
  <sheetViews>
    <sheetView zoomScale="85" zoomScaleNormal="85"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R17" sqref="R17"/>
    </sheetView>
  </sheetViews>
  <sheetFormatPr defaultColWidth="8.875" defaultRowHeight="16.5"/>
  <cols>
    <col min="1" max="1" width="26.375" style="354" customWidth="1"/>
    <col min="2" max="2" width="34.75390625" style="355" customWidth="1"/>
    <col min="3" max="3" width="8.125" style="355" hidden="1" customWidth="1"/>
    <col min="4" max="4" width="25.00390625" style="343" customWidth="1"/>
    <col min="5" max="6" width="6.00390625" style="343" customWidth="1"/>
    <col min="7" max="7" width="6.625" style="343" customWidth="1"/>
    <col min="8" max="8" width="7.00390625" style="343" customWidth="1"/>
    <col min="9" max="9" width="6.00390625" style="343" customWidth="1"/>
    <col min="10" max="12" width="5.50390625" style="343" customWidth="1"/>
    <col min="13" max="13" width="6.125" style="343" customWidth="1"/>
    <col min="14" max="15" width="5.375" style="343" customWidth="1"/>
    <col min="16" max="17" width="5.875" style="343" customWidth="1"/>
    <col min="18" max="18" width="7.75390625" style="343" customWidth="1"/>
    <col min="19" max="16384" width="8.875" style="343" customWidth="1"/>
  </cols>
  <sheetData>
    <row r="1" spans="1:17" s="342" customFormat="1" ht="39.75" customHeight="1">
      <c r="A1" s="456" t="s">
        <v>402</v>
      </c>
      <c r="B1" s="456"/>
      <c r="C1" s="456"/>
      <c r="D1" s="456"/>
      <c r="E1" s="456"/>
      <c r="F1" s="456"/>
      <c r="G1" s="456"/>
      <c r="H1" s="456"/>
      <c r="I1" s="456"/>
      <c r="J1" s="456"/>
      <c r="K1" s="456"/>
      <c r="L1" s="456"/>
      <c r="M1" s="456"/>
      <c r="N1" s="456"/>
      <c r="O1" s="456"/>
      <c r="P1" s="456"/>
      <c r="Q1" s="456"/>
    </row>
    <row r="2" spans="1:17" s="342" customFormat="1" ht="19.5" customHeight="1">
      <c r="A2" s="457" t="s">
        <v>369</v>
      </c>
      <c r="B2" s="457"/>
      <c r="C2" s="457"/>
      <c r="D2" s="457"/>
      <c r="E2" s="457"/>
      <c r="F2" s="457"/>
      <c r="G2" s="457"/>
      <c r="H2" s="457"/>
      <c r="I2" s="457"/>
      <c r="J2" s="457"/>
      <c r="K2" s="457"/>
      <c r="L2" s="457"/>
      <c r="M2" s="457"/>
      <c r="N2" s="457"/>
      <c r="O2" s="457"/>
      <c r="P2" s="457"/>
      <c r="Q2" s="457"/>
    </row>
    <row r="3" spans="1:18" ht="18" customHeight="1">
      <c r="A3" s="455" t="s">
        <v>370</v>
      </c>
      <c r="B3" s="455"/>
      <c r="C3" s="455"/>
      <c r="D3" s="455"/>
      <c r="E3" s="455"/>
      <c r="F3" s="455"/>
      <c r="G3" s="455"/>
      <c r="H3" s="455"/>
      <c r="I3" s="455"/>
      <c r="J3" s="455"/>
      <c r="K3" s="455"/>
      <c r="L3" s="455"/>
      <c r="M3" s="455"/>
      <c r="N3" s="455"/>
      <c r="O3" s="455"/>
      <c r="P3" s="455"/>
      <c r="Q3" s="455"/>
      <c r="R3" s="455"/>
    </row>
    <row r="4" spans="1:18" ht="15.75">
      <c r="A4" s="458" t="s">
        <v>371</v>
      </c>
      <c r="B4" s="459"/>
      <c r="C4" s="344"/>
      <c r="D4" s="345" t="s">
        <v>372</v>
      </c>
      <c r="E4" s="345"/>
      <c r="F4" s="345"/>
      <c r="G4" s="345"/>
      <c r="H4" s="466" t="s">
        <v>373</v>
      </c>
      <c r="I4" s="466"/>
      <c r="J4" s="466"/>
      <c r="K4" s="466"/>
      <c r="L4" s="466"/>
      <c r="M4" s="466"/>
      <c r="N4" s="466"/>
      <c r="O4" s="466"/>
      <c r="P4" s="466"/>
      <c r="Q4" s="466"/>
      <c r="R4" s="466"/>
    </row>
    <row r="5" spans="1:18" ht="29.25" customHeight="1">
      <c r="A5" s="460"/>
      <c r="B5" s="461"/>
      <c r="C5" s="346"/>
      <c r="D5" s="454" t="s">
        <v>374</v>
      </c>
      <c r="E5" s="440" t="s">
        <v>132</v>
      </c>
      <c r="F5" s="454" t="s">
        <v>19</v>
      </c>
      <c r="G5" s="454" t="s">
        <v>375</v>
      </c>
      <c r="H5" s="454" t="s">
        <v>376</v>
      </c>
      <c r="I5" s="443" t="s">
        <v>377</v>
      </c>
      <c r="J5" s="444"/>
      <c r="K5" s="443" t="s">
        <v>132</v>
      </c>
      <c r="L5" s="444"/>
      <c r="M5" s="443" t="s">
        <v>378</v>
      </c>
      <c r="N5" s="444"/>
      <c r="O5" s="443" t="s">
        <v>379</v>
      </c>
      <c r="P5" s="444"/>
      <c r="Q5" s="443" t="s">
        <v>380</v>
      </c>
      <c r="R5" s="464"/>
    </row>
    <row r="6" spans="1:18" ht="26.25" customHeight="1">
      <c r="A6" s="460"/>
      <c r="B6" s="461"/>
      <c r="C6" s="346"/>
      <c r="D6" s="454"/>
      <c r="E6" s="441"/>
      <c r="F6" s="454"/>
      <c r="G6" s="454"/>
      <c r="H6" s="454"/>
      <c r="I6" s="445"/>
      <c r="J6" s="446"/>
      <c r="K6" s="445"/>
      <c r="L6" s="446"/>
      <c r="M6" s="445"/>
      <c r="N6" s="446"/>
      <c r="O6" s="445"/>
      <c r="P6" s="446"/>
      <c r="Q6" s="445"/>
      <c r="R6" s="465"/>
    </row>
    <row r="7" spans="1:18" ht="27.75" customHeight="1">
      <c r="A7" s="462"/>
      <c r="B7" s="463"/>
      <c r="C7" s="347"/>
      <c r="D7" s="454"/>
      <c r="E7" s="442"/>
      <c r="F7" s="454"/>
      <c r="G7" s="454"/>
      <c r="H7" s="454"/>
      <c r="I7" s="348" t="s">
        <v>406</v>
      </c>
      <c r="J7" s="348" t="s">
        <v>404</v>
      </c>
      <c r="K7" s="348" t="s">
        <v>405</v>
      </c>
      <c r="L7" s="348" t="s">
        <v>404</v>
      </c>
      <c r="M7" s="348" t="s">
        <v>405</v>
      </c>
      <c r="N7" s="348" t="s">
        <v>403</v>
      </c>
      <c r="O7" s="348" t="s">
        <v>405</v>
      </c>
      <c r="P7" s="348" t="s">
        <v>403</v>
      </c>
      <c r="Q7" s="348" t="s">
        <v>405</v>
      </c>
      <c r="R7" s="349" t="s">
        <v>403</v>
      </c>
    </row>
    <row r="8" spans="1:18" ht="13.5" customHeight="1">
      <c r="A8" s="451" t="s">
        <v>195</v>
      </c>
      <c r="B8" s="401" t="str">
        <f>C8</f>
        <v>計</v>
      </c>
      <c r="C8" s="402" t="s">
        <v>8</v>
      </c>
      <c r="D8" s="403">
        <f>SUM(E8:H8)</f>
        <v>59</v>
      </c>
      <c r="E8" s="403">
        <v>28</v>
      </c>
      <c r="F8" s="403">
        <v>24</v>
      </c>
      <c r="G8" s="403">
        <v>6</v>
      </c>
      <c r="H8" s="403">
        <v>1</v>
      </c>
      <c r="I8" s="404">
        <v>56</v>
      </c>
      <c r="J8" s="403">
        <v>38</v>
      </c>
      <c r="K8" s="403">
        <v>24</v>
      </c>
      <c r="L8" s="403">
        <v>21</v>
      </c>
      <c r="M8" s="403">
        <v>19</v>
      </c>
      <c r="N8" s="403">
        <v>15</v>
      </c>
      <c r="O8" s="403">
        <v>11</v>
      </c>
      <c r="P8" s="403">
        <v>2</v>
      </c>
      <c r="Q8" s="403">
        <v>2</v>
      </c>
      <c r="R8" s="403">
        <v>0</v>
      </c>
    </row>
    <row r="9" spans="1:18" ht="78.75" customHeight="1">
      <c r="A9" s="452"/>
      <c r="B9" s="414" t="s">
        <v>435</v>
      </c>
      <c r="C9" s="350" t="s">
        <v>381</v>
      </c>
      <c r="D9" s="351"/>
      <c r="E9" s="351">
        <v>0</v>
      </c>
      <c r="F9" s="351">
        <v>0</v>
      </c>
      <c r="G9" s="415"/>
      <c r="H9" s="351"/>
      <c r="J9" s="351"/>
      <c r="K9" s="351">
        <v>0</v>
      </c>
      <c r="L9" s="351">
        <v>0</v>
      </c>
      <c r="M9" s="351">
        <v>0</v>
      </c>
      <c r="N9" s="351">
        <v>0</v>
      </c>
      <c r="O9" s="351"/>
      <c r="P9" s="351"/>
      <c r="Q9" s="351"/>
      <c r="R9" s="351"/>
    </row>
    <row r="10" spans="1:18" ht="28.5">
      <c r="A10" s="452"/>
      <c r="B10" s="414" t="s">
        <v>436</v>
      </c>
      <c r="C10" s="350" t="s">
        <v>382</v>
      </c>
      <c r="D10" s="351"/>
      <c r="E10" s="351">
        <v>0</v>
      </c>
      <c r="F10" s="351">
        <v>1</v>
      </c>
      <c r="G10" s="351"/>
      <c r="H10" s="351"/>
      <c r="J10" s="351"/>
      <c r="K10" s="351">
        <v>0</v>
      </c>
      <c r="L10" s="351">
        <v>0</v>
      </c>
      <c r="M10" s="351">
        <v>1</v>
      </c>
      <c r="N10" s="351">
        <v>0</v>
      </c>
      <c r="O10" s="351"/>
      <c r="P10" s="351"/>
      <c r="Q10" s="351"/>
      <c r="R10" s="351"/>
    </row>
    <row r="11" spans="1:18" ht="28.5">
      <c r="A11" s="452"/>
      <c r="B11" s="414" t="s">
        <v>437</v>
      </c>
      <c r="C11" s="350" t="s">
        <v>383</v>
      </c>
      <c r="D11" s="351"/>
      <c r="E11" s="351">
        <v>0</v>
      </c>
      <c r="F11" s="351">
        <v>0</v>
      </c>
      <c r="G11" s="351"/>
      <c r="H11" s="351"/>
      <c r="J11" s="351"/>
      <c r="K11" s="351">
        <v>0</v>
      </c>
      <c r="L11" s="351">
        <v>0</v>
      </c>
      <c r="M11" s="351">
        <v>0</v>
      </c>
      <c r="N11" s="351">
        <v>0</v>
      </c>
      <c r="O11" s="351"/>
      <c r="P11" s="351"/>
      <c r="Q11" s="351"/>
      <c r="R11" s="351"/>
    </row>
    <row r="12" spans="1:18" ht="28.5">
      <c r="A12" s="452"/>
      <c r="B12" s="414" t="s">
        <v>438</v>
      </c>
      <c r="C12" s="350" t="s">
        <v>384</v>
      </c>
      <c r="D12" s="351"/>
      <c r="E12" s="351">
        <v>2</v>
      </c>
      <c r="F12" s="351">
        <v>2</v>
      </c>
      <c r="G12" s="351"/>
      <c r="H12" s="351"/>
      <c r="J12" s="351"/>
      <c r="K12" s="351">
        <v>2</v>
      </c>
      <c r="L12" s="351">
        <v>1</v>
      </c>
      <c r="M12" s="351">
        <v>2</v>
      </c>
      <c r="N12" s="351">
        <v>1</v>
      </c>
      <c r="O12" s="351"/>
      <c r="P12" s="351"/>
      <c r="Q12" s="351"/>
      <c r="R12" s="351"/>
    </row>
    <row r="13" spans="1:18" ht="42.75">
      <c r="A13" s="452"/>
      <c r="B13" s="414" t="s">
        <v>440</v>
      </c>
      <c r="C13" s="350" t="s">
        <v>385</v>
      </c>
      <c r="D13" s="351"/>
      <c r="E13" s="351">
        <v>3</v>
      </c>
      <c r="F13" s="351">
        <v>0</v>
      </c>
      <c r="G13" s="351"/>
      <c r="H13" s="351"/>
      <c r="J13" s="351"/>
      <c r="K13" s="351">
        <v>4</v>
      </c>
      <c r="L13" s="351">
        <v>0</v>
      </c>
      <c r="M13" s="351">
        <v>0</v>
      </c>
      <c r="N13" s="351">
        <v>0</v>
      </c>
      <c r="O13" s="351"/>
      <c r="P13" s="351"/>
      <c r="Q13" s="351"/>
      <c r="R13" s="351"/>
    </row>
    <row r="14" spans="1:18" ht="28.5">
      <c r="A14" s="452"/>
      <c r="B14" s="414" t="s">
        <v>441</v>
      </c>
      <c r="C14" s="350" t="s">
        <v>386</v>
      </c>
      <c r="D14" s="351"/>
      <c r="E14" s="351">
        <v>19</v>
      </c>
      <c r="F14" s="351">
        <v>15</v>
      </c>
      <c r="G14" s="351"/>
      <c r="H14" s="351"/>
      <c r="J14" s="351"/>
      <c r="K14" s="351">
        <v>18</v>
      </c>
      <c r="L14" s="351">
        <v>2</v>
      </c>
      <c r="M14" s="351">
        <v>16</v>
      </c>
      <c r="N14" s="351">
        <v>3</v>
      </c>
      <c r="O14" s="351"/>
      <c r="P14" s="351"/>
      <c r="Q14" s="351"/>
      <c r="R14" s="351"/>
    </row>
    <row r="15" spans="1:18" ht="42.75">
      <c r="A15" s="452"/>
      <c r="B15" s="414" t="s">
        <v>442</v>
      </c>
      <c r="C15" s="350" t="s">
        <v>387</v>
      </c>
      <c r="D15" s="351"/>
      <c r="E15" s="351">
        <v>4</v>
      </c>
      <c r="F15" s="351">
        <v>6</v>
      </c>
      <c r="G15" s="351"/>
      <c r="H15" s="351"/>
      <c r="J15" s="351"/>
      <c r="K15" s="351">
        <v>0</v>
      </c>
      <c r="L15" s="351">
        <v>18</v>
      </c>
      <c r="M15" s="351">
        <v>0</v>
      </c>
      <c r="N15" s="351">
        <v>11</v>
      </c>
      <c r="O15" s="351"/>
      <c r="P15" s="351"/>
      <c r="Q15" s="351"/>
      <c r="R15" s="351"/>
    </row>
    <row r="16" spans="1:18" ht="13.5" customHeight="1">
      <c r="A16" s="453"/>
      <c r="B16" s="352" t="s">
        <v>134</v>
      </c>
      <c r="C16" s="350"/>
      <c r="D16" s="351"/>
      <c r="E16" s="351">
        <v>0</v>
      </c>
      <c r="F16" s="351">
        <v>0</v>
      </c>
      <c r="G16" s="351"/>
      <c r="H16" s="351"/>
      <c r="J16" s="351"/>
      <c r="K16" s="351">
        <v>0</v>
      </c>
      <c r="L16" s="351">
        <v>0</v>
      </c>
      <c r="M16" s="351">
        <v>0</v>
      </c>
      <c r="N16" s="351">
        <v>0</v>
      </c>
      <c r="O16" s="351"/>
      <c r="P16" s="351"/>
      <c r="Q16" s="351"/>
      <c r="R16" s="351"/>
    </row>
    <row r="17" spans="1:18" ht="13.5" customHeight="1">
      <c r="A17" s="447" t="s">
        <v>136</v>
      </c>
      <c r="B17" s="401" t="str">
        <f>C17</f>
        <v>計</v>
      </c>
      <c r="C17" s="402" t="s">
        <v>8</v>
      </c>
      <c r="D17" s="403">
        <f>SUM(E17:H17)</f>
        <v>51</v>
      </c>
      <c r="E17" s="403">
        <v>29</v>
      </c>
      <c r="F17" s="403">
        <v>11</v>
      </c>
      <c r="G17" s="403">
        <v>9</v>
      </c>
      <c r="H17" s="403">
        <v>2</v>
      </c>
      <c r="I17" s="404">
        <v>53</v>
      </c>
      <c r="J17" s="403">
        <v>29</v>
      </c>
      <c r="K17" s="403">
        <v>30</v>
      </c>
      <c r="L17" s="403">
        <v>12</v>
      </c>
      <c r="M17" s="403">
        <v>9</v>
      </c>
      <c r="N17" s="403">
        <v>8</v>
      </c>
      <c r="O17" s="403">
        <v>12</v>
      </c>
      <c r="P17" s="403">
        <v>7</v>
      </c>
      <c r="Q17" s="403">
        <v>2</v>
      </c>
      <c r="R17" s="403">
        <v>2</v>
      </c>
    </row>
    <row r="18" spans="1:18" ht="13.5" customHeight="1">
      <c r="A18" s="448"/>
      <c r="B18" s="414" t="s">
        <v>443</v>
      </c>
      <c r="C18" s="350" t="s">
        <v>388</v>
      </c>
      <c r="D18" s="351"/>
      <c r="E18" s="351">
        <v>16</v>
      </c>
      <c r="F18" s="351">
        <v>6</v>
      </c>
      <c r="G18" s="351"/>
      <c r="H18" s="351"/>
      <c r="J18" s="351"/>
      <c r="K18" s="351">
        <v>16</v>
      </c>
      <c r="L18" s="351">
        <v>1</v>
      </c>
      <c r="M18" s="351">
        <v>7</v>
      </c>
      <c r="N18" s="351">
        <v>0</v>
      </c>
      <c r="O18" s="351"/>
      <c r="P18" s="351"/>
      <c r="Q18" s="351"/>
      <c r="R18" s="351"/>
    </row>
    <row r="19" spans="1:18" ht="13.5" customHeight="1">
      <c r="A19" s="448"/>
      <c r="B19" s="414" t="s">
        <v>444</v>
      </c>
      <c r="C19" s="350" t="s">
        <v>389</v>
      </c>
      <c r="D19" s="351"/>
      <c r="E19" s="351">
        <v>1</v>
      </c>
      <c r="F19" s="351">
        <v>0</v>
      </c>
      <c r="G19" s="351"/>
      <c r="H19" s="351"/>
      <c r="J19" s="351"/>
      <c r="K19" s="351">
        <v>2</v>
      </c>
      <c r="L19" s="351">
        <v>0</v>
      </c>
      <c r="M19" s="351">
        <v>0</v>
      </c>
      <c r="N19" s="351">
        <v>0</v>
      </c>
      <c r="O19" s="351"/>
      <c r="P19" s="351"/>
      <c r="Q19" s="351"/>
      <c r="R19" s="351"/>
    </row>
    <row r="20" spans="1:18" ht="13.5" customHeight="1">
      <c r="A20" s="448"/>
      <c r="B20" s="414" t="s">
        <v>445</v>
      </c>
      <c r="C20" s="350" t="s">
        <v>390</v>
      </c>
      <c r="D20" s="351"/>
      <c r="E20" s="351">
        <v>8</v>
      </c>
      <c r="F20" s="351">
        <v>2</v>
      </c>
      <c r="G20" s="351"/>
      <c r="H20" s="351"/>
      <c r="J20" s="351"/>
      <c r="K20" s="351">
        <v>12</v>
      </c>
      <c r="L20" s="351">
        <v>1</v>
      </c>
      <c r="M20" s="351">
        <v>2</v>
      </c>
      <c r="N20" s="351">
        <v>0</v>
      </c>
      <c r="O20" s="351"/>
      <c r="P20" s="351"/>
      <c r="Q20" s="351"/>
      <c r="R20" s="351"/>
    </row>
    <row r="21" spans="1:18" ht="26.25" customHeight="1">
      <c r="A21" s="448"/>
      <c r="B21" s="414" t="s">
        <v>446</v>
      </c>
      <c r="C21" s="350" t="s">
        <v>392</v>
      </c>
      <c r="D21" s="351"/>
      <c r="E21" s="351">
        <v>4</v>
      </c>
      <c r="F21" s="351">
        <v>3</v>
      </c>
      <c r="G21" s="351"/>
      <c r="H21" s="351"/>
      <c r="J21" s="351"/>
      <c r="K21" s="351">
        <v>0</v>
      </c>
      <c r="L21" s="351">
        <v>10</v>
      </c>
      <c r="M21" s="351">
        <v>0</v>
      </c>
      <c r="N21" s="351">
        <v>8</v>
      </c>
      <c r="O21" s="351"/>
      <c r="P21" s="351"/>
      <c r="Q21" s="351"/>
      <c r="R21" s="351"/>
    </row>
    <row r="22" spans="1:18" ht="13.5" customHeight="1">
      <c r="A22" s="449"/>
      <c r="B22" s="352" t="str">
        <f>C22</f>
        <v>其他</v>
      </c>
      <c r="C22" s="350" t="s">
        <v>387</v>
      </c>
      <c r="D22" s="351"/>
      <c r="E22" s="351">
        <v>0</v>
      </c>
      <c r="F22" s="351">
        <v>0</v>
      </c>
      <c r="G22" s="351"/>
      <c r="H22" s="351"/>
      <c r="J22" s="351"/>
      <c r="K22" s="351">
        <v>0</v>
      </c>
      <c r="L22" s="351">
        <v>0</v>
      </c>
      <c r="M22" s="351">
        <v>0</v>
      </c>
      <c r="N22" s="351">
        <v>0</v>
      </c>
      <c r="O22" s="351"/>
      <c r="P22" s="351"/>
      <c r="Q22" s="351"/>
      <c r="R22" s="351"/>
    </row>
    <row r="23" spans="1:18" ht="15" customHeight="1">
      <c r="A23" s="447" t="s">
        <v>137</v>
      </c>
      <c r="B23" s="401" t="str">
        <f>C23</f>
        <v>計</v>
      </c>
      <c r="C23" s="402" t="s">
        <v>8</v>
      </c>
      <c r="D23" s="403">
        <f>SUM(E23:H23)</f>
        <v>1032</v>
      </c>
      <c r="E23" s="403">
        <v>533</v>
      </c>
      <c r="F23" s="403">
        <v>183</v>
      </c>
      <c r="G23" s="403">
        <v>249</v>
      </c>
      <c r="H23" s="403">
        <v>67</v>
      </c>
      <c r="I23" s="404">
        <v>2130</v>
      </c>
      <c r="J23" s="403">
        <v>268</v>
      </c>
      <c r="K23" s="403">
        <v>898</v>
      </c>
      <c r="L23" s="403">
        <v>126</v>
      </c>
      <c r="M23" s="403">
        <v>370</v>
      </c>
      <c r="N23" s="403">
        <v>43</v>
      </c>
      <c r="O23" s="403">
        <v>687</v>
      </c>
      <c r="P23" s="403">
        <v>76</v>
      </c>
      <c r="Q23" s="403">
        <v>175</v>
      </c>
      <c r="R23" s="403">
        <v>23</v>
      </c>
    </row>
    <row r="24" spans="1:18" ht="40.5" customHeight="1">
      <c r="A24" s="448"/>
      <c r="B24" s="414" t="s">
        <v>447</v>
      </c>
      <c r="C24" s="350" t="s">
        <v>393</v>
      </c>
      <c r="D24" s="351"/>
      <c r="E24" s="351">
        <v>2</v>
      </c>
      <c r="F24" s="351">
        <v>0</v>
      </c>
      <c r="G24" s="351"/>
      <c r="H24" s="351"/>
      <c r="J24" s="351"/>
      <c r="K24" s="351">
        <v>2</v>
      </c>
      <c r="L24" s="351">
        <v>0</v>
      </c>
      <c r="M24" s="351">
        <v>0</v>
      </c>
      <c r="N24" s="351">
        <v>0</v>
      </c>
      <c r="O24" s="351"/>
      <c r="P24" s="351"/>
      <c r="Q24" s="351"/>
      <c r="R24" s="351"/>
    </row>
    <row r="25" spans="1:18" ht="17.25" customHeight="1">
      <c r="A25" s="448"/>
      <c r="B25" s="414" t="s">
        <v>457</v>
      </c>
      <c r="C25" s="350"/>
      <c r="D25" s="351"/>
      <c r="E25" s="351"/>
      <c r="F25" s="351"/>
      <c r="G25" s="351"/>
      <c r="H25" s="351"/>
      <c r="J25" s="351"/>
      <c r="K25" s="351"/>
      <c r="L25" s="351"/>
      <c r="M25" s="351"/>
      <c r="N25" s="351"/>
      <c r="O25" s="351"/>
      <c r="P25" s="351"/>
      <c r="Q25" s="351"/>
      <c r="R25" s="351"/>
    </row>
    <row r="26" spans="1:18" ht="15.75" customHeight="1">
      <c r="A26" s="448"/>
      <c r="B26" s="418" t="s">
        <v>449</v>
      </c>
      <c r="C26" s="350" t="s">
        <v>394</v>
      </c>
      <c r="D26" s="351"/>
      <c r="E26" s="351">
        <v>17</v>
      </c>
      <c r="F26" s="351">
        <v>4</v>
      </c>
      <c r="G26" s="351"/>
      <c r="H26" s="351"/>
      <c r="J26" s="351"/>
      <c r="K26" s="351">
        <v>45</v>
      </c>
      <c r="L26" s="351">
        <v>10</v>
      </c>
      <c r="M26" s="351">
        <v>17</v>
      </c>
      <c r="N26" s="351">
        <v>0</v>
      </c>
      <c r="O26" s="351"/>
      <c r="P26" s="351"/>
      <c r="Q26" s="351"/>
      <c r="R26" s="351"/>
    </row>
    <row r="27" spans="1:18" ht="28.5" customHeight="1">
      <c r="A27" s="448"/>
      <c r="B27" s="418" t="s">
        <v>451</v>
      </c>
      <c r="C27" s="350" t="s">
        <v>395</v>
      </c>
      <c r="D27" s="351"/>
      <c r="E27" s="351">
        <v>26</v>
      </c>
      <c r="F27" s="351">
        <v>1</v>
      </c>
      <c r="G27" s="351"/>
      <c r="H27" s="351"/>
      <c r="J27" s="351"/>
      <c r="K27" s="351">
        <v>60</v>
      </c>
      <c r="L27" s="351">
        <v>9</v>
      </c>
      <c r="M27" s="351">
        <v>4</v>
      </c>
      <c r="N27" s="351">
        <v>0</v>
      </c>
      <c r="O27" s="351"/>
      <c r="P27" s="351"/>
      <c r="Q27" s="351"/>
      <c r="R27" s="351"/>
    </row>
    <row r="28" spans="1:18" ht="32.25" customHeight="1">
      <c r="A28" s="448"/>
      <c r="B28" s="418" t="s">
        <v>452</v>
      </c>
      <c r="C28" s="350" t="s">
        <v>396</v>
      </c>
      <c r="D28" s="351"/>
      <c r="E28" s="351">
        <v>96</v>
      </c>
      <c r="F28" s="351">
        <v>39</v>
      </c>
      <c r="G28" s="351"/>
      <c r="H28" s="351"/>
      <c r="J28" s="351"/>
      <c r="K28" s="351">
        <v>142</v>
      </c>
      <c r="L28" s="351">
        <v>0</v>
      </c>
      <c r="M28" s="351">
        <v>61</v>
      </c>
      <c r="N28" s="351">
        <v>2</v>
      </c>
      <c r="O28" s="351"/>
      <c r="P28" s="351"/>
      <c r="Q28" s="351"/>
      <c r="R28" s="351"/>
    </row>
    <row r="29" spans="1:18" ht="30" customHeight="1">
      <c r="A29" s="448"/>
      <c r="B29" s="418" t="s">
        <v>453</v>
      </c>
      <c r="C29" s="350" t="s">
        <v>397</v>
      </c>
      <c r="D29" s="351"/>
      <c r="E29" s="351">
        <v>366</v>
      </c>
      <c r="F29" s="351">
        <v>123</v>
      </c>
      <c r="G29" s="351"/>
      <c r="H29" s="351"/>
      <c r="J29" s="351"/>
      <c r="K29" s="351">
        <v>631</v>
      </c>
      <c r="L29" s="351">
        <v>8</v>
      </c>
      <c r="M29" s="351">
        <v>226</v>
      </c>
      <c r="N29" s="351">
        <v>7</v>
      </c>
      <c r="O29" s="351"/>
      <c r="P29" s="351"/>
      <c r="Q29" s="351"/>
      <c r="R29" s="351"/>
    </row>
    <row r="30" spans="1:18" ht="43.5" customHeight="1">
      <c r="A30" s="448"/>
      <c r="B30" s="418" t="s">
        <v>454</v>
      </c>
      <c r="C30" s="350" t="s">
        <v>398</v>
      </c>
      <c r="D30" s="351"/>
      <c r="E30" s="351">
        <v>0</v>
      </c>
      <c r="F30" s="351">
        <v>0</v>
      </c>
      <c r="G30" s="351"/>
      <c r="H30" s="351"/>
      <c r="J30" s="351"/>
      <c r="K30" s="351">
        <v>0</v>
      </c>
      <c r="L30" s="351">
        <v>0</v>
      </c>
      <c r="M30" s="351">
        <v>0</v>
      </c>
      <c r="N30" s="351">
        <v>0</v>
      </c>
      <c r="O30" s="351"/>
      <c r="P30" s="351"/>
      <c r="Q30" s="351"/>
      <c r="R30" s="351"/>
    </row>
    <row r="31" spans="1:18" ht="45" customHeight="1">
      <c r="A31" s="448"/>
      <c r="B31" s="418" t="s">
        <v>455</v>
      </c>
      <c r="C31" s="350" t="s">
        <v>399</v>
      </c>
      <c r="D31" s="351"/>
      <c r="E31" s="351">
        <v>0</v>
      </c>
      <c r="F31" s="351">
        <v>1</v>
      </c>
      <c r="G31" s="351"/>
      <c r="H31" s="351"/>
      <c r="J31" s="351"/>
      <c r="K31" s="351">
        <v>3</v>
      </c>
      <c r="L31" s="351">
        <v>0</v>
      </c>
      <c r="M31" s="351">
        <v>6</v>
      </c>
      <c r="N31" s="351">
        <v>1</v>
      </c>
      <c r="O31" s="351"/>
      <c r="P31" s="351"/>
      <c r="Q31" s="351"/>
      <c r="R31" s="351"/>
    </row>
    <row r="32" spans="1:18" ht="66" customHeight="1">
      <c r="A32" s="448"/>
      <c r="B32" s="414" t="s">
        <v>456</v>
      </c>
      <c r="C32" s="350" t="s">
        <v>382</v>
      </c>
      <c r="D32" s="351"/>
      <c r="E32" s="351">
        <v>19</v>
      </c>
      <c r="F32" s="351">
        <v>6</v>
      </c>
      <c r="G32" s="351"/>
      <c r="H32" s="351"/>
      <c r="J32" s="351"/>
      <c r="K32" s="351">
        <v>4</v>
      </c>
      <c r="L32" s="351">
        <v>99</v>
      </c>
      <c r="M32" s="351">
        <v>3</v>
      </c>
      <c r="N32" s="351">
        <v>33</v>
      </c>
      <c r="O32" s="351"/>
      <c r="P32" s="351"/>
      <c r="Q32" s="351"/>
      <c r="R32" s="351"/>
    </row>
    <row r="33" spans="1:18" ht="15" customHeight="1">
      <c r="A33" s="448"/>
      <c r="B33" s="416" t="s">
        <v>458</v>
      </c>
      <c r="C33" s="350" t="s">
        <v>383</v>
      </c>
      <c r="D33" s="351"/>
      <c r="E33" s="351">
        <v>7</v>
      </c>
      <c r="F33" s="351">
        <v>9</v>
      </c>
      <c r="G33" s="351"/>
      <c r="H33" s="351"/>
      <c r="J33" s="351"/>
      <c r="K33" s="351">
        <v>11</v>
      </c>
      <c r="L33" s="351">
        <v>0</v>
      </c>
      <c r="M33" s="351">
        <v>53</v>
      </c>
      <c r="N33" s="351">
        <v>0</v>
      </c>
      <c r="O33" s="351"/>
      <c r="P33" s="351"/>
      <c r="Q33" s="351"/>
      <c r="R33" s="351"/>
    </row>
    <row r="34" spans="1:18" ht="15" customHeight="1">
      <c r="A34" s="449"/>
      <c r="B34" s="417" t="str">
        <f>C34</f>
        <v>其他</v>
      </c>
      <c r="C34" s="350" t="s">
        <v>387</v>
      </c>
      <c r="D34" s="353"/>
      <c r="E34" s="353">
        <v>0</v>
      </c>
      <c r="F34" s="353">
        <v>0</v>
      </c>
      <c r="G34" s="353"/>
      <c r="H34" s="353"/>
      <c r="I34" s="353"/>
      <c r="J34" s="353"/>
      <c r="K34" s="353">
        <v>0</v>
      </c>
      <c r="L34" s="353">
        <v>0</v>
      </c>
      <c r="M34" s="353">
        <v>0</v>
      </c>
      <c r="N34" s="353">
        <v>0</v>
      </c>
      <c r="O34" s="353"/>
      <c r="P34" s="353"/>
      <c r="Q34" s="353"/>
      <c r="R34" s="353"/>
    </row>
    <row r="35" spans="1:18" s="366" customFormat="1" ht="15" customHeight="1">
      <c r="A35" s="359" t="s">
        <v>15</v>
      </c>
      <c r="B35" s="308">
        <f>SUM(C35:F35)</f>
        <v>0</v>
      </c>
      <c r="C35" s="308">
        <v>0</v>
      </c>
      <c r="D35" s="308">
        <v>0</v>
      </c>
      <c r="E35" s="308">
        <v>0</v>
      </c>
      <c r="F35" s="308">
        <v>0</v>
      </c>
      <c r="G35" s="308">
        <f aca="true" t="shared" si="0" ref="G35:H44">+I35+M35+K35+O35</f>
        <v>0</v>
      </c>
      <c r="H35" s="308">
        <f t="shared" si="0"/>
        <v>0</v>
      </c>
      <c r="I35" s="308">
        <v>0</v>
      </c>
      <c r="J35" s="308">
        <v>0</v>
      </c>
      <c r="K35" s="308">
        <v>0</v>
      </c>
      <c r="L35" s="308">
        <v>0</v>
      </c>
      <c r="M35" s="308">
        <v>0</v>
      </c>
      <c r="N35" s="308">
        <v>0</v>
      </c>
      <c r="O35" s="308">
        <v>0</v>
      </c>
      <c r="P35" s="308">
        <v>0</v>
      </c>
      <c r="Q35" s="308">
        <v>0</v>
      </c>
      <c r="R35" s="308">
        <v>0</v>
      </c>
    </row>
    <row r="36" spans="1:18" s="366" customFormat="1" ht="15" customHeight="1">
      <c r="A36" s="359" t="s">
        <v>16</v>
      </c>
      <c r="B36" s="308">
        <f>SUM(C36:F36)</f>
        <v>0</v>
      </c>
      <c r="C36" s="308">
        <v>0</v>
      </c>
      <c r="D36" s="308">
        <v>0</v>
      </c>
      <c r="E36" s="308">
        <v>0</v>
      </c>
      <c r="F36" s="308">
        <v>0</v>
      </c>
      <c r="G36" s="308">
        <f t="shared" si="0"/>
        <v>0</v>
      </c>
      <c r="H36" s="308">
        <f t="shared" si="0"/>
        <v>0</v>
      </c>
      <c r="I36" s="308">
        <v>0</v>
      </c>
      <c r="J36" s="308">
        <v>0</v>
      </c>
      <c r="K36" s="308">
        <v>0</v>
      </c>
      <c r="L36" s="308">
        <v>0</v>
      </c>
      <c r="M36" s="308">
        <v>0</v>
      </c>
      <c r="N36" s="308">
        <v>0</v>
      </c>
      <c r="O36" s="308">
        <v>0</v>
      </c>
      <c r="P36" s="308">
        <v>0</v>
      </c>
      <c r="Q36" s="308">
        <v>0</v>
      </c>
      <c r="R36" s="308">
        <v>0</v>
      </c>
    </row>
    <row r="37" spans="1:18" s="366" customFormat="1" ht="9" customHeight="1" hidden="1">
      <c r="A37" s="360" t="s">
        <v>17</v>
      </c>
      <c r="B37" s="308">
        <f>SUM(C37:F37)</f>
        <v>0</v>
      </c>
      <c r="C37" s="308">
        <v>0</v>
      </c>
      <c r="D37" s="308">
        <v>0</v>
      </c>
      <c r="E37" s="308">
        <v>0</v>
      </c>
      <c r="F37" s="308">
        <v>0</v>
      </c>
      <c r="G37" s="308">
        <f>+I37+M37+K37+O37</f>
        <v>0</v>
      </c>
      <c r="H37" s="308">
        <f>+J37+N37+L37+P37</f>
        <v>0</v>
      </c>
      <c r="I37" s="308">
        <v>0</v>
      </c>
      <c r="J37" s="308">
        <v>0</v>
      </c>
      <c r="K37" s="308">
        <v>0</v>
      </c>
      <c r="L37" s="308">
        <v>0</v>
      </c>
      <c r="M37" s="308">
        <v>0</v>
      </c>
      <c r="N37" s="308">
        <v>0</v>
      </c>
      <c r="O37" s="308">
        <v>0</v>
      </c>
      <c r="P37" s="308">
        <v>0</v>
      </c>
      <c r="Q37" s="308">
        <v>0</v>
      </c>
      <c r="R37" s="308">
        <v>0</v>
      </c>
    </row>
    <row r="38" spans="1:18" s="366" customFormat="1" ht="15" customHeight="1">
      <c r="A38" s="361" t="s">
        <v>23</v>
      </c>
      <c r="B38" s="308">
        <f>SUM(C38:F38)</f>
        <v>0</v>
      </c>
      <c r="C38" s="308">
        <v>0</v>
      </c>
      <c r="D38" s="308">
        <v>0</v>
      </c>
      <c r="E38" s="308">
        <v>0</v>
      </c>
      <c r="F38" s="308">
        <v>0</v>
      </c>
      <c r="G38" s="308">
        <f>+I38+M38+K38+O38</f>
        <v>0</v>
      </c>
      <c r="H38" s="308">
        <f>+J38+N38+L38+P38</f>
        <v>0</v>
      </c>
      <c r="I38" s="308">
        <v>0</v>
      </c>
      <c r="J38" s="308">
        <v>0</v>
      </c>
      <c r="K38" s="308">
        <v>0</v>
      </c>
      <c r="L38" s="308">
        <v>0</v>
      </c>
      <c r="M38" s="308">
        <v>0</v>
      </c>
      <c r="N38" s="308">
        <v>0</v>
      </c>
      <c r="O38" s="308">
        <v>0</v>
      </c>
      <c r="P38" s="308">
        <v>0</v>
      </c>
      <c r="Q38" s="308">
        <v>0</v>
      </c>
      <c r="R38" s="308">
        <v>0</v>
      </c>
    </row>
    <row r="39" spans="1:18" s="366" customFormat="1" ht="15" customHeight="1">
      <c r="A39" s="362" t="s">
        <v>349</v>
      </c>
      <c r="B39" s="308">
        <f aca="true" t="shared" si="1" ref="B39:B44">SUM(C39:F39)</f>
        <v>0</v>
      </c>
      <c r="C39" s="308">
        <v>0</v>
      </c>
      <c r="D39" s="308">
        <v>0</v>
      </c>
      <c r="E39" s="308">
        <v>0</v>
      </c>
      <c r="F39" s="308">
        <v>0</v>
      </c>
      <c r="G39" s="308">
        <f t="shared" si="0"/>
        <v>0</v>
      </c>
      <c r="H39" s="308">
        <f>+J39+N39+L39+P39</f>
        <v>0</v>
      </c>
      <c r="I39" s="308">
        <v>0</v>
      </c>
      <c r="J39" s="308">
        <v>0</v>
      </c>
      <c r="K39" s="308">
        <v>0</v>
      </c>
      <c r="L39" s="308">
        <v>0</v>
      </c>
      <c r="M39" s="308">
        <v>0</v>
      </c>
      <c r="N39" s="308">
        <v>0</v>
      </c>
      <c r="O39" s="308">
        <v>0</v>
      </c>
      <c r="P39" s="308">
        <v>0</v>
      </c>
      <c r="Q39" s="308">
        <v>0</v>
      </c>
      <c r="R39" s="308">
        <v>0</v>
      </c>
    </row>
    <row r="40" spans="1:18" s="366" customFormat="1" ht="15" customHeight="1" hidden="1">
      <c r="A40" s="360" t="s">
        <v>24</v>
      </c>
      <c r="B40" s="308">
        <f t="shared" si="1"/>
        <v>0</v>
      </c>
      <c r="C40" s="308"/>
      <c r="D40" s="308"/>
      <c r="E40" s="308"/>
      <c r="F40" s="308"/>
      <c r="G40" s="308">
        <f t="shared" si="0"/>
        <v>0</v>
      </c>
      <c r="H40" s="308">
        <f t="shared" si="0"/>
        <v>0</v>
      </c>
      <c r="I40" s="308"/>
      <c r="J40" s="308"/>
      <c r="K40" s="308"/>
      <c r="L40" s="308"/>
      <c r="M40" s="308"/>
      <c r="N40" s="308"/>
      <c r="O40" s="308"/>
      <c r="P40" s="308"/>
      <c r="Q40" s="308"/>
      <c r="R40" s="308"/>
    </row>
    <row r="41" spans="1:18" s="366" customFormat="1" ht="15" customHeight="1" hidden="1">
      <c r="A41" s="363" t="s">
        <v>230</v>
      </c>
      <c r="B41" s="308">
        <f t="shared" si="1"/>
        <v>0</v>
      </c>
      <c r="C41" s="308"/>
      <c r="D41" s="308"/>
      <c r="E41" s="308"/>
      <c r="F41" s="308"/>
      <c r="G41" s="308">
        <f t="shared" si="0"/>
        <v>0</v>
      </c>
      <c r="H41" s="308">
        <f t="shared" si="0"/>
        <v>0</v>
      </c>
      <c r="I41" s="308"/>
      <c r="J41" s="308"/>
      <c r="K41" s="308"/>
      <c r="L41" s="308"/>
      <c r="M41" s="308"/>
      <c r="N41" s="308"/>
      <c r="O41" s="308"/>
      <c r="P41" s="308"/>
      <c r="Q41" s="308"/>
      <c r="R41" s="308"/>
    </row>
    <row r="42" spans="1:18" s="366" customFormat="1" ht="15" customHeight="1">
      <c r="A42" s="361" t="s">
        <v>25</v>
      </c>
      <c r="B42" s="308">
        <f t="shared" si="1"/>
        <v>0</v>
      </c>
      <c r="C42" s="308">
        <v>0</v>
      </c>
      <c r="D42" s="308">
        <v>0</v>
      </c>
      <c r="E42" s="308">
        <v>0</v>
      </c>
      <c r="F42" s="308">
        <v>0</v>
      </c>
      <c r="G42" s="308">
        <f t="shared" si="0"/>
        <v>0</v>
      </c>
      <c r="H42" s="308">
        <f t="shared" si="0"/>
        <v>0</v>
      </c>
      <c r="I42" s="308">
        <v>0</v>
      </c>
      <c r="J42" s="308">
        <v>0</v>
      </c>
      <c r="K42" s="308">
        <v>0</v>
      </c>
      <c r="L42" s="308">
        <v>0</v>
      </c>
      <c r="M42" s="308">
        <v>0</v>
      </c>
      <c r="N42" s="308">
        <v>0</v>
      </c>
      <c r="O42" s="308">
        <v>0</v>
      </c>
      <c r="P42" s="308">
        <v>0</v>
      </c>
      <c r="Q42" s="308">
        <v>0</v>
      </c>
      <c r="R42" s="308">
        <v>0</v>
      </c>
    </row>
    <row r="43" spans="1:18" s="366" customFormat="1" ht="15" customHeight="1" hidden="1">
      <c r="A43" s="359" t="s">
        <v>26</v>
      </c>
      <c r="B43" s="308">
        <f t="shared" si="1"/>
        <v>0</v>
      </c>
      <c r="C43" s="308"/>
      <c r="D43" s="308"/>
      <c r="E43" s="308"/>
      <c r="F43" s="308"/>
      <c r="G43" s="308">
        <f t="shared" si="0"/>
        <v>0</v>
      </c>
      <c r="H43" s="308">
        <f t="shared" si="0"/>
        <v>0</v>
      </c>
      <c r="I43" s="308"/>
      <c r="J43" s="308"/>
      <c r="K43" s="308"/>
      <c r="L43" s="308"/>
      <c r="M43" s="308"/>
      <c r="N43" s="308"/>
      <c r="O43" s="308"/>
      <c r="P43" s="308"/>
      <c r="Q43" s="308"/>
      <c r="R43" s="308"/>
    </row>
    <row r="44" spans="1:18" s="367" customFormat="1" ht="15" customHeight="1" thickBot="1">
      <c r="A44" s="364" t="s">
        <v>27</v>
      </c>
      <c r="B44" s="365">
        <f t="shared" si="1"/>
        <v>0</v>
      </c>
      <c r="C44" s="309">
        <v>0</v>
      </c>
      <c r="D44" s="309">
        <v>0</v>
      </c>
      <c r="E44" s="309">
        <v>0</v>
      </c>
      <c r="F44" s="309">
        <v>0</v>
      </c>
      <c r="G44" s="309">
        <f t="shared" si="0"/>
        <v>0</v>
      </c>
      <c r="H44" s="309">
        <f>+J44+N44+L44+P44</f>
        <v>0</v>
      </c>
      <c r="I44" s="309">
        <v>0</v>
      </c>
      <c r="J44" s="309">
        <v>0</v>
      </c>
      <c r="K44" s="309">
        <v>0</v>
      </c>
      <c r="L44" s="309">
        <v>0</v>
      </c>
      <c r="M44" s="309">
        <v>0</v>
      </c>
      <c r="N44" s="309">
        <v>0</v>
      </c>
      <c r="O44" s="309">
        <v>0</v>
      </c>
      <c r="P44" s="309">
        <v>0</v>
      </c>
      <c r="Q44" s="309">
        <v>0</v>
      </c>
      <c r="R44" s="309">
        <v>0</v>
      </c>
    </row>
    <row r="45" spans="1:17" ht="16.5" customHeight="1">
      <c r="A45" s="450" t="s">
        <v>270</v>
      </c>
      <c r="B45" s="450"/>
      <c r="C45" s="450"/>
      <c r="D45" s="450"/>
      <c r="E45" s="450"/>
      <c r="F45" s="450"/>
      <c r="G45" s="450"/>
      <c r="H45" s="450"/>
      <c r="I45" s="450"/>
      <c r="J45" s="450"/>
      <c r="K45" s="450"/>
      <c r="L45" s="450"/>
      <c r="M45" s="450"/>
      <c r="N45" s="450"/>
      <c r="O45" s="450"/>
      <c r="P45" s="450"/>
      <c r="Q45" s="450"/>
    </row>
    <row r="46" spans="1:17" ht="16.5" customHeight="1">
      <c r="A46" s="450" t="s">
        <v>338</v>
      </c>
      <c r="B46" s="450"/>
      <c r="C46" s="450"/>
      <c r="D46" s="450"/>
      <c r="E46" s="450"/>
      <c r="F46" s="450"/>
      <c r="G46" s="450"/>
      <c r="H46" s="450"/>
      <c r="I46" s="450"/>
      <c r="J46" s="450"/>
      <c r="K46" s="450"/>
      <c r="L46" s="450"/>
      <c r="M46" s="450"/>
      <c r="N46" s="450"/>
      <c r="O46" s="450"/>
      <c r="P46" s="450"/>
      <c r="Q46" s="450"/>
    </row>
    <row r="47" spans="1:17" ht="15.75" customHeight="1">
      <c r="A47" s="450" t="s">
        <v>401</v>
      </c>
      <c r="B47" s="450"/>
      <c r="C47" s="450"/>
      <c r="D47" s="450"/>
      <c r="E47" s="450"/>
      <c r="F47" s="450"/>
      <c r="G47" s="450"/>
      <c r="H47" s="450"/>
      <c r="I47" s="450"/>
      <c r="J47" s="450"/>
      <c r="K47" s="450"/>
      <c r="L47" s="450"/>
      <c r="M47" s="450"/>
      <c r="N47" s="450"/>
      <c r="O47" s="450"/>
      <c r="P47" s="450"/>
      <c r="Q47" s="450"/>
    </row>
    <row r="48" spans="1:17" ht="15.75">
      <c r="A48" s="439"/>
      <c r="B48" s="439"/>
      <c r="C48" s="439"/>
      <c r="D48" s="439"/>
      <c r="E48" s="439"/>
      <c r="F48" s="439"/>
      <c r="G48" s="439"/>
      <c r="H48" s="439"/>
      <c r="I48" s="439"/>
      <c r="J48" s="439"/>
      <c r="K48" s="439"/>
      <c r="L48" s="439"/>
      <c r="M48" s="439"/>
      <c r="N48" s="439"/>
      <c r="O48" s="439"/>
      <c r="P48" s="439"/>
      <c r="Q48" s="439"/>
    </row>
    <row r="49" spans="5:13" ht="15.75">
      <c r="E49" s="356"/>
      <c r="J49" s="356"/>
      <c r="K49" s="356"/>
      <c r="L49" s="356"/>
      <c r="M49" s="356"/>
    </row>
    <row r="50" spans="5:17" ht="16.5">
      <c r="E50" s="357"/>
      <c r="F50" s="357"/>
      <c r="G50" s="357"/>
      <c r="H50" s="357"/>
      <c r="I50" s="357"/>
      <c r="J50" s="357"/>
      <c r="K50" s="357"/>
      <c r="L50" s="357"/>
      <c r="M50" s="357"/>
      <c r="N50" s="357"/>
      <c r="O50" s="357"/>
      <c r="P50" s="357"/>
      <c r="Q50" s="357"/>
    </row>
    <row r="51" spans="5:17" ht="16.5">
      <c r="E51" s="358"/>
      <c r="F51" s="358"/>
      <c r="G51" s="358"/>
      <c r="H51" s="358"/>
      <c r="I51" s="358"/>
      <c r="J51" s="357"/>
      <c r="K51" s="357"/>
      <c r="L51" s="357"/>
      <c r="M51" s="358"/>
      <c r="N51" s="358"/>
      <c r="O51" s="358"/>
      <c r="P51" s="358"/>
      <c r="Q51" s="358"/>
    </row>
    <row r="52" spans="5:17" ht="16.5">
      <c r="E52" s="358"/>
      <c r="F52" s="358"/>
      <c r="G52" s="358"/>
      <c r="H52" s="358"/>
      <c r="I52" s="358"/>
      <c r="J52" s="357"/>
      <c r="K52" s="357"/>
      <c r="L52" s="357"/>
      <c r="M52" s="358"/>
      <c r="N52" s="358"/>
      <c r="O52" s="358"/>
      <c r="P52" s="358"/>
      <c r="Q52" s="358"/>
    </row>
    <row r="53" spans="5:17" ht="16.5">
      <c r="E53" s="358"/>
      <c r="F53" s="358"/>
      <c r="G53" s="358"/>
      <c r="H53" s="358"/>
      <c r="I53" s="358"/>
      <c r="J53" s="357"/>
      <c r="K53" s="357"/>
      <c r="L53" s="357"/>
      <c r="M53" s="358"/>
      <c r="N53" s="358"/>
      <c r="O53" s="358"/>
      <c r="P53" s="358"/>
      <c r="Q53" s="358"/>
    </row>
    <row r="54" spans="5:17" ht="16.5">
      <c r="E54" s="358"/>
      <c r="F54" s="358"/>
      <c r="G54" s="358"/>
      <c r="H54" s="358"/>
      <c r="I54" s="358"/>
      <c r="J54" s="357"/>
      <c r="K54" s="357"/>
      <c r="L54" s="357"/>
      <c r="M54" s="358"/>
      <c r="N54" s="358"/>
      <c r="O54" s="358"/>
      <c r="P54" s="358"/>
      <c r="Q54" s="358"/>
    </row>
    <row r="55" spans="5:17" ht="16.5">
      <c r="E55" s="358"/>
      <c r="F55" s="358"/>
      <c r="G55" s="358"/>
      <c r="H55" s="358"/>
      <c r="I55" s="358"/>
      <c r="J55" s="357"/>
      <c r="K55" s="357"/>
      <c r="L55" s="357"/>
      <c r="M55" s="358"/>
      <c r="N55" s="358"/>
      <c r="O55" s="358"/>
      <c r="P55" s="358"/>
      <c r="Q55" s="358"/>
    </row>
    <row r="56" spans="5:17" ht="16.5">
      <c r="E56" s="358"/>
      <c r="F56" s="358"/>
      <c r="G56" s="358"/>
      <c r="H56" s="358"/>
      <c r="I56" s="358"/>
      <c r="J56" s="357"/>
      <c r="K56" s="357"/>
      <c r="L56" s="357"/>
      <c r="M56" s="358"/>
      <c r="N56" s="358"/>
      <c r="O56" s="358"/>
      <c r="P56" s="358"/>
      <c r="Q56" s="358"/>
    </row>
    <row r="57" spans="5:17" ht="16.5">
      <c r="E57" s="358"/>
      <c r="F57" s="358"/>
      <c r="G57" s="358"/>
      <c r="H57" s="358"/>
      <c r="I57" s="358"/>
      <c r="J57" s="357"/>
      <c r="K57" s="357"/>
      <c r="L57" s="357"/>
      <c r="M57" s="358"/>
      <c r="N57" s="358"/>
      <c r="O57" s="358"/>
      <c r="P57" s="358"/>
      <c r="Q57" s="358"/>
    </row>
  </sheetData>
  <sheetProtection/>
  <mergeCells count="22">
    <mergeCell ref="K5:L6"/>
    <mergeCell ref="H4:R4"/>
    <mergeCell ref="G5:G7"/>
    <mergeCell ref="H5:H7"/>
    <mergeCell ref="A3:R3"/>
    <mergeCell ref="A47:Q47"/>
    <mergeCell ref="A1:Q1"/>
    <mergeCell ref="A2:Q2"/>
    <mergeCell ref="A4:B7"/>
    <mergeCell ref="D5:D7"/>
    <mergeCell ref="F5:F7"/>
    <mergeCell ref="Q5:R6"/>
    <mergeCell ref="A48:Q48"/>
    <mergeCell ref="E5:E7"/>
    <mergeCell ref="I5:J6"/>
    <mergeCell ref="M5:N6"/>
    <mergeCell ref="O5:P6"/>
    <mergeCell ref="A23:A34"/>
    <mergeCell ref="A45:Q45"/>
    <mergeCell ref="A46:Q46"/>
    <mergeCell ref="A17:A22"/>
    <mergeCell ref="A8:A16"/>
  </mergeCells>
  <printOptions horizontalCentered="1"/>
  <pageMargins left="0.7086614173228347" right="0.2362204724409449" top="0.31496062992125984" bottom="0.03937007874015748" header="0.2755905511811024" footer="0.2362204724409449"/>
  <pageSetup cellComments="atEnd"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R217"/>
  <sheetViews>
    <sheetView view="pageBreakPreview" zoomScaleSheetLayoutView="100" zoomScalePageLayoutView="0" workbookViewId="0" topLeftCell="A1">
      <pane xSplit="1" ySplit="5" topLeftCell="B9" activePane="bottomRight" state="frozen"/>
      <selection pane="topLeft" activeCell="B26" sqref="B26:B27"/>
      <selection pane="topRight" activeCell="B26" sqref="B26:B27"/>
      <selection pane="bottomLeft" activeCell="B26" sqref="B26:B27"/>
      <selection pane="bottomRight" activeCell="A28" sqref="A28:IV37"/>
    </sheetView>
  </sheetViews>
  <sheetFormatPr defaultColWidth="9.00390625" defaultRowHeight="16.5"/>
  <cols>
    <col min="1" max="1" width="45.125" style="37" customWidth="1"/>
    <col min="2" max="16" width="6.625" style="5" customWidth="1"/>
    <col min="17" max="16384" width="9.00390625" style="5" customWidth="1"/>
  </cols>
  <sheetData>
    <row r="1" spans="1:16" ht="24.75" customHeight="1">
      <c r="A1" s="1" t="s">
        <v>368</v>
      </c>
      <c r="B1" s="2"/>
      <c r="C1" s="2"/>
      <c r="D1" s="2"/>
      <c r="E1" s="2"/>
      <c r="F1" s="2"/>
      <c r="G1" s="2"/>
      <c r="H1" s="3"/>
      <c r="I1" s="2"/>
      <c r="J1" s="2"/>
      <c r="K1" s="2"/>
      <c r="L1" s="2"/>
      <c r="M1" s="2"/>
      <c r="N1" s="2"/>
      <c r="O1" s="4"/>
      <c r="P1" s="2"/>
    </row>
    <row r="2" spans="1:16" ht="9" customHeight="1" thickBot="1">
      <c r="A2" s="6"/>
      <c r="B2" s="7"/>
      <c r="C2" s="7"/>
      <c r="D2" s="7"/>
      <c r="E2" s="7"/>
      <c r="F2" s="2"/>
      <c r="G2" s="7"/>
      <c r="H2" s="6"/>
      <c r="I2" s="6"/>
      <c r="J2" s="7"/>
      <c r="K2" s="7"/>
      <c r="L2" s="7"/>
      <c r="M2" s="7"/>
      <c r="N2" s="7"/>
      <c r="O2" s="245"/>
      <c r="P2" s="246"/>
    </row>
    <row r="3" spans="1:16" s="11" customFormat="1" ht="15" customHeight="1">
      <c r="A3" s="467"/>
      <c r="B3" s="9" t="s">
        <v>219</v>
      </c>
      <c r="C3" s="9"/>
      <c r="D3" s="9"/>
      <c r="E3" s="9"/>
      <c r="F3" s="10"/>
      <c r="G3" s="9" t="s">
        <v>218</v>
      </c>
      <c r="H3" s="9"/>
      <c r="I3" s="9"/>
      <c r="J3" s="9"/>
      <c r="K3" s="9"/>
      <c r="L3" s="9"/>
      <c r="M3" s="9"/>
      <c r="N3" s="9"/>
      <c r="O3" s="9"/>
      <c r="P3" s="9"/>
    </row>
    <row r="4" spans="1:16" s="11" customFormat="1" ht="15" customHeight="1">
      <c r="A4" s="468"/>
      <c r="B4" s="12" t="s">
        <v>0</v>
      </c>
      <c r="C4" s="13" t="s">
        <v>1</v>
      </c>
      <c r="D4" s="13" t="s">
        <v>18</v>
      </c>
      <c r="E4" s="13" t="s">
        <v>2</v>
      </c>
      <c r="F4" s="12" t="s">
        <v>3</v>
      </c>
      <c r="G4" s="14" t="s">
        <v>4</v>
      </c>
      <c r="H4" s="15"/>
      <c r="I4" s="16" t="s">
        <v>5</v>
      </c>
      <c r="J4" s="15"/>
      <c r="K4" s="16" t="s">
        <v>19</v>
      </c>
      <c r="L4" s="15"/>
      <c r="M4" s="16" t="s">
        <v>6</v>
      </c>
      <c r="N4" s="15"/>
      <c r="O4" s="16" t="s">
        <v>7</v>
      </c>
      <c r="P4" s="15"/>
    </row>
    <row r="5" spans="1:16" s="11" customFormat="1" ht="15" customHeight="1" thickBot="1">
      <c r="A5" s="469"/>
      <c r="B5" s="17" t="s">
        <v>8</v>
      </c>
      <c r="C5" s="18" t="s">
        <v>20</v>
      </c>
      <c r="D5" s="18" t="s">
        <v>21</v>
      </c>
      <c r="E5" s="18" t="s">
        <v>9</v>
      </c>
      <c r="F5" s="19" t="s">
        <v>10</v>
      </c>
      <c r="G5" s="17" t="s">
        <v>11</v>
      </c>
      <c r="H5" s="18" t="s">
        <v>12</v>
      </c>
      <c r="I5" s="18" t="s">
        <v>11</v>
      </c>
      <c r="J5" s="18" t="s">
        <v>12</v>
      </c>
      <c r="K5" s="18" t="s">
        <v>11</v>
      </c>
      <c r="L5" s="18" t="s">
        <v>12</v>
      </c>
      <c r="M5" s="18" t="s">
        <v>11</v>
      </c>
      <c r="N5" s="18" t="s">
        <v>12</v>
      </c>
      <c r="O5" s="18" t="s">
        <v>11</v>
      </c>
      <c r="P5" s="18" t="s">
        <v>12</v>
      </c>
    </row>
    <row r="6" spans="1:16" s="22" customFormat="1" ht="15" customHeight="1">
      <c r="A6" s="20" t="s">
        <v>13</v>
      </c>
      <c r="B6" s="21">
        <f>SUM(B7:B11)</f>
        <v>62</v>
      </c>
      <c r="C6" s="21">
        <f>SUM(C7:C11)</f>
        <v>36</v>
      </c>
      <c r="D6" s="21">
        <f aca="true" t="shared" si="0" ref="D6:P6">SUM(D7:D11)</f>
        <v>13</v>
      </c>
      <c r="E6" s="21">
        <f t="shared" si="0"/>
        <v>10</v>
      </c>
      <c r="F6" s="21">
        <f t="shared" si="0"/>
        <v>3</v>
      </c>
      <c r="G6" s="21">
        <f>SUM(G7:G11)</f>
        <v>62</v>
      </c>
      <c r="H6" s="21">
        <f>SUM(H7:H11)</f>
        <v>27</v>
      </c>
      <c r="I6" s="21">
        <f>SUM(I7:I11)</f>
        <v>34</v>
      </c>
      <c r="J6" s="21">
        <f t="shared" si="0"/>
        <v>18</v>
      </c>
      <c r="K6" s="21">
        <f t="shared" si="0"/>
        <v>10</v>
      </c>
      <c r="L6" s="21">
        <f t="shared" si="0"/>
        <v>7</v>
      </c>
      <c r="M6" s="21">
        <f t="shared" si="0"/>
        <v>18</v>
      </c>
      <c r="N6" s="21">
        <f t="shared" si="0"/>
        <v>2</v>
      </c>
      <c r="O6" s="21">
        <f t="shared" si="0"/>
        <v>0</v>
      </c>
      <c r="P6" s="21">
        <f t="shared" si="0"/>
        <v>0</v>
      </c>
    </row>
    <row r="7" spans="1:16" ht="16.5">
      <c r="A7" s="24" t="s">
        <v>352</v>
      </c>
      <c r="B7" s="327">
        <f>SUM(C7:F7)</f>
        <v>0</v>
      </c>
      <c r="C7" s="28">
        <v>0</v>
      </c>
      <c r="D7" s="23">
        <v>0</v>
      </c>
      <c r="E7" s="23">
        <v>0</v>
      </c>
      <c r="F7" s="23">
        <v>0</v>
      </c>
      <c r="G7" s="327">
        <f>+I7+M7+K7+O7</f>
        <v>0</v>
      </c>
      <c r="H7" s="327">
        <f>+J7+N7+L7+P7</f>
        <v>3</v>
      </c>
      <c r="I7" s="28">
        <v>0</v>
      </c>
      <c r="J7" s="23">
        <v>3</v>
      </c>
      <c r="K7" s="23">
        <v>0</v>
      </c>
      <c r="L7" s="23">
        <v>0</v>
      </c>
      <c r="M7" s="23">
        <v>0</v>
      </c>
      <c r="N7" s="23">
        <v>0</v>
      </c>
      <c r="O7" s="23">
        <v>0</v>
      </c>
      <c r="P7" s="23">
        <v>0</v>
      </c>
    </row>
    <row r="8" spans="1:16" s="22" customFormat="1" ht="15" customHeight="1">
      <c r="A8" s="24" t="s">
        <v>353</v>
      </c>
      <c r="B8" s="327">
        <f>SUM(C8:F8)</f>
        <v>2</v>
      </c>
      <c r="C8" s="28">
        <v>2</v>
      </c>
      <c r="D8" s="23">
        <v>0</v>
      </c>
      <c r="E8" s="23">
        <v>0</v>
      </c>
      <c r="F8" s="23">
        <v>0</v>
      </c>
      <c r="G8" s="327">
        <f aca="true" t="shared" si="1" ref="G8:H11">+I8+M8+K8+O8</f>
        <v>2</v>
      </c>
      <c r="H8" s="327">
        <f t="shared" si="1"/>
        <v>0</v>
      </c>
      <c r="I8" s="28">
        <v>2</v>
      </c>
      <c r="J8" s="23">
        <v>0</v>
      </c>
      <c r="K8" s="23">
        <v>0</v>
      </c>
      <c r="L8" s="23">
        <v>0</v>
      </c>
      <c r="M8" s="23">
        <v>0</v>
      </c>
      <c r="N8" s="23">
        <v>0</v>
      </c>
      <c r="O8" s="23">
        <v>0</v>
      </c>
      <c r="P8" s="23">
        <v>0</v>
      </c>
    </row>
    <row r="9" spans="1:16" s="22" customFormat="1" ht="15" customHeight="1">
      <c r="A9" s="24" t="s">
        <v>354</v>
      </c>
      <c r="B9" s="327">
        <f>SUM(C9:F9)</f>
        <v>38</v>
      </c>
      <c r="C9" s="23">
        <v>29</v>
      </c>
      <c r="D9" s="23">
        <v>9</v>
      </c>
      <c r="E9" s="23">
        <v>0</v>
      </c>
      <c r="F9" s="23">
        <v>0</v>
      </c>
      <c r="G9" s="327">
        <f t="shared" si="1"/>
        <v>39</v>
      </c>
      <c r="H9" s="327">
        <f t="shared" si="1"/>
        <v>6</v>
      </c>
      <c r="I9" s="23">
        <v>29</v>
      </c>
      <c r="J9" s="23">
        <v>6</v>
      </c>
      <c r="K9" s="23">
        <v>10</v>
      </c>
      <c r="L9" s="23">
        <v>0</v>
      </c>
      <c r="M9" s="23">
        <v>0</v>
      </c>
      <c r="N9" s="23">
        <v>0</v>
      </c>
      <c r="O9" s="23">
        <v>0</v>
      </c>
      <c r="P9" s="23">
        <v>0</v>
      </c>
    </row>
    <row r="10" spans="1:16" s="22" customFormat="1" ht="15" customHeight="1">
      <c r="A10" s="326" t="s">
        <v>355</v>
      </c>
      <c r="B10" s="327">
        <f>SUM(C10:F10)</f>
        <v>7</v>
      </c>
      <c r="C10" s="23">
        <v>3</v>
      </c>
      <c r="D10" s="23">
        <v>4</v>
      </c>
      <c r="E10" s="23">
        <v>0</v>
      </c>
      <c r="F10" s="23">
        <v>0</v>
      </c>
      <c r="G10" s="327">
        <f t="shared" si="1"/>
        <v>0</v>
      </c>
      <c r="H10" s="327">
        <f>+J10+N10+L10+P10</f>
        <v>16</v>
      </c>
      <c r="I10" s="23">
        <v>0</v>
      </c>
      <c r="J10" s="23">
        <v>9</v>
      </c>
      <c r="K10" s="23">
        <v>0</v>
      </c>
      <c r="L10" s="23">
        <v>7</v>
      </c>
      <c r="M10" s="23">
        <v>0</v>
      </c>
      <c r="N10" s="23">
        <v>0</v>
      </c>
      <c r="O10" s="23">
        <v>0</v>
      </c>
      <c r="P10" s="23">
        <v>0</v>
      </c>
    </row>
    <row r="11" spans="1:16" s="22" customFormat="1" ht="15" customHeight="1">
      <c r="A11" s="26" t="s">
        <v>230</v>
      </c>
      <c r="B11" s="327">
        <f>SUM(C11:F11)</f>
        <v>15</v>
      </c>
      <c r="C11" s="23">
        <v>2</v>
      </c>
      <c r="D11" s="23">
        <v>0</v>
      </c>
      <c r="E11" s="23">
        <v>10</v>
      </c>
      <c r="F11" s="23">
        <v>3</v>
      </c>
      <c r="G11" s="327">
        <f t="shared" si="1"/>
        <v>21</v>
      </c>
      <c r="H11" s="327">
        <f t="shared" si="1"/>
        <v>2</v>
      </c>
      <c r="I11" s="23">
        <v>3</v>
      </c>
      <c r="J11" s="23">
        <v>0</v>
      </c>
      <c r="K11" s="23">
        <v>0</v>
      </c>
      <c r="L11" s="23">
        <v>0</v>
      </c>
      <c r="M11" s="23">
        <v>18</v>
      </c>
      <c r="N11" s="23">
        <v>2</v>
      </c>
      <c r="O11" s="23">
        <v>0</v>
      </c>
      <c r="P11" s="23">
        <v>0</v>
      </c>
    </row>
    <row r="12" spans="1:16" s="22" customFormat="1" ht="15" customHeight="1">
      <c r="A12" s="20" t="s">
        <v>284</v>
      </c>
      <c r="B12" s="21">
        <f>SUM(B13:B17)</f>
        <v>76</v>
      </c>
      <c r="C12" s="21">
        <f aca="true" t="shared" si="2" ref="C12:J12">SUM(C13:C17)</f>
        <v>42</v>
      </c>
      <c r="D12" s="21">
        <f>SUM(D13:D17)</f>
        <v>20</v>
      </c>
      <c r="E12" s="21">
        <f t="shared" si="2"/>
        <v>12</v>
      </c>
      <c r="F12" s="21">
        <f t="shared" si="2"/>
        <v>2</v>
      </c>
      <c r="G12" s="21">
        <f t="shared" si="2"/>
        <v>84</v>
      </c>
      <c r="H12" s="21">
        <f t="shared" si="2"/>
        <v>44</v>
      </c>
      <c r="I12" s="21">
        <f t="shared" si="2"/>
        <v>44</v>
      </c>
      <c r="J12" s="21">
        <f t="shared" si="2"/>
        <v>24</v>
      </c>
      <c r="K12" s="21">
        <f aca="true" t="shared" si="3" ref="K12:P12">SUM(K13:K17)</f>
        <v>18</v>
      </c>
      <c r="L12" s="21">
        <f t="shared" si="3"/>
        <v>14</v>
      </c>
      <c r="M12" s="21">
        <f t="shared" si="3"/>
        <v>21</v>
      </c>
      <c r="N12" s="21">
        <f t="shared" si="3"/>
        <v>5</v>
      </c>
      <c r="O12" s="21">
        <f t="shared" si="3"/>
        <v>1</v>
      </c>
      <c r="P12" s="21">
        <f t="shared" si="3"/>
        <v>1</v>
      </c>
    </row>
    <row r="13" spans="1:18" s="22" customFormat="1" ht="15" customHeight="1">
      <c r="A13" s="27" t="s">
        <v>283</v>
      </c>
      <c r="B13" s="327">
        <f>SUM(C13:F13)</f>
        <v>31</v>
      </c>
      <c r="C13" s="209">
        <v>22</v>
      </c>
      <c r="D13" s="23">
        <v>8</v>
      </c>
      <c r="E13" s="23">
        <v>1</v>
      </c>
      <c r="F13" s="23">
        <v>0</v>
      </c>
      <c r="G13" s="327">
        <f aca="true" t="shared" si="4" ref="G13:H17">+I13+M13+K13+O13</f>
        <v>32</v>
      </c>
      <c r="H13" s="327">
        <f t="shared" si="4"/>
        <v>6</v>
      </c>
      <c r="I13" s="23">
        <v>23</v>
      </c>
      <c r="J13" s="23">
        <v>4</v>
      </c>
      <c r="K13" s="23">
        <v>8</v>
      </c>
      <c r="L13" s="23">
        <v>2</v>
      </c>
      <c r="M13" s="23">
        <v>1</v>
      </c>
      <c r="N13" s="23">
        <v>0</v>
      </c>
      <c r="O13" s="23">
        <v>0</v>
      </c>
      <c r="P13" s="23">
        <v>0</v>
      </c>
      <c r="Q13" s="22">
        <v>0</v>
      </c>
      <c r="R13" s="22">
        <v>0</v>
      </c>
    </row>
    <row r="14" spans="1:16" s="22" customFormat="1" ht="15" customHeight="1">
      <c r="A14" s="27" t="s">
        <v>281</v>
      </c>
      <c r="B14" s="327">
        <f>SUM(C14:F14)</f>
        <v>10</v>
      </c>
      <c r="C14" s="23">
        <v>6</v>
      </c>
      <c r="D14" s="23">
        <v>4</v>
      </c>
      <c r="E14" s="23">
        <v>0</v>
      </c>
      <c r="F14" s="23">
        <v>0</v>
      </c>
      <c r="G14" s="327">
        <f t="shared" si="4"/>
        <v>18</v>
      </c>
      <c r="H14" s="327">
        <f t="shared" si="4"/>
        <v>1</v>
      </c>
      <c r="I14" s="23">
        <v>11</v>
      </c>
      <c r="J14" s="23">
        <v>0</v>
      </c>
      <c r="K14" s="23">
        <v>7</v>
      </c>
      <c r="L14" s="23">
        <v>1</v>
      </c>
      <c r="M14" s="23">
        <v>0</v>
      </c>
      <c r="N14" s="23">
        <v>0</v>
      </c>
      <c r="O14" s="23">
        <v>0</v>
      </c>
      <c r="P14" s="23">
        <v>0</v>
      </c>
    </row>
    <row r="15" spans="1:18" s="22" customFormat="1" ht="15" customHeight="1">
      <c r="A15" s="27" t="s">
        <v>204</v>
      </c>
      <c r="B15" s="327">
        <f>SUM(C15:F15)</f>
        <v>7</v>
      </c>
      <c r="C15" s="209">
        <v>4</v>
      </c>
      <c r="D15" s="23">
        <v>3</v>
      </c>
      <c r="E15" s="23">
        <v>0</v>
      </c>
      <c r="F15" s="23">
        <v>0</v>
      </c>
      <c r="G15" s="327">
        <f t="shared" si="4"/>
        <v>9</v>
      </c>
      <c r="H15" s="327">
        <f t="shared" si="4"/>
        <v>0</v>
      </c>
      <c r="I15" s="23">
        <v>6</v>
      </c>
      <c r="J15" s="23">
        <v>0</v>
      </c>
      <c r="K15" s="23">
        <v>3</v>
      </c>
      <c r="L15" s="23">
        <v>0</v>
      </c>
      <c r="M15" s="23">
        <v>0</v>
      </c>
      <c r="N15" s="23">
        <v>0</v>
      </c>
      <c r="O15" s="23">
        <v>0</v>
      </c>
      <c r="P15" s="23">
        <v>0</v>
      </c>
      <c r="Q15" s="22">
        <v>0</v>
      </c>
      <c r="R15" s="22">
        <v>0</v>
      </c>
    </row>
    <row r="16" spans="1:16" s="22" customFormat="1" ht="15" customHeight="1">
      <c r="A16" s="325" t="s">
        <v>356</v>
      </c>
      <c r="B16" s="327">
        <f>SUM(C16:F16)</f>
        <v>12</v>
      </c>
      <c r="C16" s="209">
        <v>7</v>
      </c>
      <c r="D16" s="23">
        <v>5</v>
      </c>
      <c r="E16" s="23">
        <v>0</v>
      </c>
      <c r="F16" s="23">
        <v>0</v>
      </c>
      <c r="G16" s="327">
        <f t="shared" si="4"/>
        <v>0</v>
      </c>
      <c r="H16" s="327">
        <f t="shared" si="4"/>
        <v>31</v>
      </c>
      <c r="I16" s="23">
        <v>0</v>
      </c>
      <c r="J16" s="23">
        <v>20</v>
      </c>
      <c r="K16" s="23">
        <v>0</v>
      </c>
      <c r="L16" s="23">
        <v>11</v>
      </c>
      <c r="M16" s="23">
        <v>0</v>
      </c>
      <c r="N16" s="23">
        <v>0</v>
      </c>
      <c r="O16" s="23">
        <v>0</v>
      </c>
      <c r="P16" s="23">
        <v>0</v>
      </c>
    </row>
    <row r="17" spans="1:16" s="22" customFormat="1" ht="15" customHeight="1">
      <c r="A17" s="26" t="s">
        <v>230</v>
      </c>
      <c r="B17" s="327">
        <f>SUM(C17:F17)</f>
        <v>16</v>
      </c>
      <c r="C17" s="23">
        <v>3</v>
      </c>
      <c r="D17" s="23">
        <v>0</v>
      </c>
      <c r="E17" s="23">
        <v>11</v>
      </c>
      <c r="F17" s="23">
        <v>2</v>
      </c>
      <c r="G17" s="327">
        <f t="shared" si="4"/>
        <v>25</v>
      </c>
      <c r="H17" s="327">
        <f t="shared" si="4"/>
        <v>6</v>
      </c>
      <c r="I17" s="23">
        <v>4</v>
      </c>
      <c r="J17" s="23">
        <v>0</v>
      </c>
      <c r="K17" s="23">
        <v>0</v>
      </c>
      <c r="L17" s="23">
        <v>0</v>
      </c>
      <c r="M17" s="23">
        <v>20</v>
      </c>
      <c r="N17" s="23">
        <v>5</v>
      </c>
      <c r="O17" s="23">
        <v>1</v>
      </c>
      <c r="P17" s="23">
        <v>1</v>
      </c>
    </row>
    <row r="18" spans="1:16" s="22" customFormat="1" ht="15" customHeight="1">
      <c r="A18" s="20" t="s">
        <v>22</v>
      </c>
      <c r="B18" s="21">
        <f aca="true" t="shared" si="5" ref="B18:P18">SUM(B20:B26)</f>
        <v>852</v>
      </c>
      <c r="C18" s="21">
        <f t="shared" si="5"/>
        <v>428</v>
      </c>
      <c r="D18" s="21">
        <f t="shared" si="5"/>
        <v>162</v>
      </c>
      <c r="E18" s="21">
        <f t="shared" si="5"/>
        <v>207</v>
      </c>
      <c r="F18" s="21">
        <f t="shared" si="5"/>
        <v>55</v>
      </c>
      <c r="G18" s="21">
        <f t="shared" si="5"/>
        <v>1694</v>
      </c>
      <c r="H18" s="21">
        <f t="shared" si="5"/>
        <v>182</v>
      </c>
      <c r="I18" s="21">
        <f t="shared" si="5"/>
        <v>777</v>
      </c>
      <c r="J18" s="21">
        <f t="shared" si="5"/>
        <v>81</v>
      </c>
      <c r="K18" s="21">
        <f t="shared" si="5"/>
        <v>299</v>
      </c>
      <c r="L18" s="21">
        <f t="shared" si="5"/>
        <v>37</v>
      </c>
      <c r="M18" s="21">
        <f t="shared" si="5"/>
        <v>508</v>
      </c>
      <c r="N18" s="21">
        <f t="shared" si="5"/>
        <v>45</v>
      </c>
      <c r="O18" s="21">
        <f t="shared" si="5"/>
        <v>110</v>
      </c>
      <c r="P18" s="21">
        <f t="shared" si="5"/>
        <v>19</v>
      </c>
    </row>
    <row r="19" spans="1:16" s="22" customFormat="1" ht="15" customHeight="1">
      <c r="A19" s="96" t="s">
        <v>279</v>
      </c>
      <c r="B19" s="28"/>
      <c r="C19" s="28"/>
      <c r="D19" s="28"/>
      <c r="E19" s="28"/>
      <c r="F19" s="28"/>
      <c r="G19" s="28"/>
      <c r="H19" s="28"/>
      <c r="I19" s="28"/>
      <c r="J19" s="28"/>
      <c r="K19" s="28"/>
      <c r="L19" s="28"/>
      <c r="M19" s="28"/>
      <c r="N19" s="28"/>
      <c r="O19" s="28"/>
      <c r="P19" s="28"/>
    </row>
    <row r="20" spans="1:16" s="22" customFormat="1" ht="14.25">
      <c r="A20" s="248" t="s">
        <v>217</v>
      </c>
      <c r="B20" s="327">
        <f aca="true" t="shared" si="6" ref="B20:B29">SUM(C20:F20)</f>
        <v>20</v>
      </c>
      <c r="C20" s="23">
        <v>20</v>
      </c>
      <c r="D20" s="209">
        <v>0</v>
      </c>
      <c r="E20" s="23">
        <v>0</v>
      </c>
      <c r="F20" s="23">
        <v>0</v>
      </c>
      <c r="G20" s="327">
        <f aca="true" t="shared" si="7" ref="G20:G26">+I20+M20+K20+O20</f>
        <v>60</v>
      </c>
      <c r="H20" s="327">
        <f aca="true" t="shared" si="8" ref="H20:H36">+J20+N20+L20+P20</f>
        <v>3</v>
      </c>
      <c r="I20" s="23">
        <v>57</v>
      </c>
      <c r="J20" s="23">
        <v>3</v>
      </c>
      <c r="K20" s="23">
        <v>3</v>
      </c>
      <c r="L20" s="23">
        <v>0</v>
      </c>
      <c r="M20" s="23">
        <v>0</v>
      </c>
      <c r="N20" s="23">
        <v>0</v>
      </c>
      <c r="O20" s="23">
        <v>0</v>
      </c>
      <c r="P20" s="23">
        <v>0</v>
      </c>
    </row>
    <row r="21" spans="1:16" s="22" customFormat="1" ht="14.25">
      <c r="A21" s="248" t="s">
        <v>214</v>
      </c>
      <c r="B21" s="327">
        <f t="shared" si="6"/>
        <v>26</v>
      </c>
      <c r="C21" s="23">
        <v>25</v>
      </c>
      <c r="D21" s="209">
        <v>1</v>
      </c>
      <c r="E21" s="23">
        <v>0</v>
      </c>
      <c r="F21" s="23">
        <v>0</v>
      </c>
      <c r="G21" s="327">
        <f t="shared" si="7"/>
        <v>73</v>
      </c>
      <c r="H21" s="327">
        <f t="shared" si="8"/>
        <v>5</v>
      </c>
      <c r="I21" s="23">
        <v>59</v>
      </c>
      <c r="J21" s="23">
        <v>1</v>
      </c>
      <c r="K21" s="23">
        <v>14</v>
      </c>
      <c r="L21" s="23">
        <v>4</v>
      </c>
      <c r="M21" s="23">
        <v>0</v>
      </c>
      <c r="N21" s="23">
        <v>0</v>
      </c>
      <c r="O21" s="23">
        <v>0</v>
      </c>
      <c r="P21" s="23">
        <v>0</v>
      </c>
    </row>
    <row r="22" spans="1:16" s="22" customFormat="1" ht="14.25" hidden="1">
      <c r="A22" s="248" t="s">
        <v>215</v>
      </c>
      <c r="B22" s="327">
        <f t="shared" si="6"/>
        <v>123</v>
      </c>
      <c r="C22" s="23">
        <v>98</v>
      </c>
      <c r="D22" s="209">
        <v>25</v>
      </c>
      <c r="E22" s="23">
        <v>0</v>
      </c>
      <c r="F22" s="23">
        <v>0</v>
      </c>
      <c r="G22" s="327">
        <f t="shared" si="7"/>
        <v>221</v>
      </c>
      <c r="H22" s="327">
        <f t="shared" si="8"/>
        <v>2</v>
      </c>
      <c r="I22" s="23">
        <v>156</v>
      </c>
      <c r="J22" s="23">
        <v>2</v>
      </c>
      <c r="K22" s="23">
        <v>61</v>
      </c>
      <c r="L22" s="23">
        <v>0</v>
      </c>
      <c r="M22" s="23">
        <v>3</v>
      </c>
      <c r="N22" s="23">
        <v>0</v>
      </c>
      <c r="O22" s="23">
        <v>1</v>
      </c>
      <c r="P22" s="23">
        <v>0</v>
      </c>
    </row>
    <row r="23" spans="1:16" s="22" customFormat="1" ht="14.25">
      <c r="A23" s="248" t="s">
        <v>216</v>
      </c>
      <c r="B23" s="327">
        <f t="shared" si="6"/>
        <v>388</v>
      </c>
      <c r="C23" s="23">
        <v>268</v>
      </c>
      <c r="D23" s="209">
        <v>117</v>
      </c>
      <c r="E23" s="23">
        <v>3</v>
      </c>
      <c r="F23" s="23">
        <v>0</v>
      </c>
      <c r="G23" s="327">
        <f t="shared" si="7"/>
        <v>695</v>
      </c>
      <c r="H23" s="327">
        <f t="shared" si="8"/>
        <v>16</v>
      </c>
      <c r="I23" s="23">
        <v>494</v>
      </c>
      <c r="J23" s="23">
        <v>10</v>
      </c>
      <c r="K23" s="23">
        <v>192</v>
      </c>
      <c r="L23" s="23">
        <v>6</v>
      </c>
      <c r="M23" s="23">
        <v>9</v>
      </c>
      <c r="N23" s="23">
        <v>0</v>
      </c>
      <c r="O23" s="23">
        <v>0</v>
      </c>
      <c r="P23" s="23">
        <v>0</v>
      </c>
    </row>
    <row r="24" spans="1:16" s="22" customFormat="1" ht="15" customHeight="1">
      <c r="A24" s="24" t="s">
        <v>246</v>
      </c>
      <c r="B24" s="327">
        <f t="shared" si="6"/>
        <v>23</v>
      </c>
      <c r="C24" s="23">
        <v>13</v>
      </c>
      <c r="D24" s="23">
        <v>10</v>
      </c>
      <c r="E24" s="23">
        <v>0</v>
      </c>
      <c r="F24" s="23">
        <v>0</v>
      </c>
      <c r="G24" s="327">
        <f>+I24+M24+K24+O24</f>
        <v>6</v>
      </c>
      <c r="H24" s="327">
        <f>+J24+N24+L24+P24</f>
        <v>88</v>
      </c>
      <c r="I24" s="23">
        <v>4</v>
      </c>
      <c r="J24" s="23">
        <v>64</v>
      </c>
      <c r="K24" s="23">
        <v>2</v>
      </c>
      <c r="L24" s="23">
        <v>23</v>
      </c>
      <c r="M24" s="23">
        <v>0</v>
      </c>
      <c r="N24" s="23">
        <v>1</v>
      </c>
      <c r="O24" s="23">
        <v>0</v>
      </c>
      <c r="P24" s="23">
        <v>0</v>
      </c>
    </row>
    <row r="25" spans="1:16" s="22" customFormat="1" ht="15" customHeight="1">
      <c r="A25" s="24" t="s">
        <v>260</v>
      </c>
      <c r="B25" s="327">
        <f t="shared" si="6"/>
        <v>12</v>
      </c>
      <c r="C25" s="23">
        <v>4</v>
      </c>
      <c r="D25" s="23">
        <v>8</v>
      </c>
      <c r="E25" s="23">
        <v>0</v>
      </c>
      <c r="F25" s="23">
        <v>0</v>
      </c>
      <c r="G25" s="327">
        <f>+I25+M25+K25+O25</f>
        <v>28</v>
      </c>
      <c r="H25" s="327">
        <f>+J25+N25+L25+P25</f>
        <v>1</v>
      </c>
      <c r="I25" s="23">
        <v>7</v>
      </c>
      <c r="J25" s="23">
        <v>1</v>
      </c>
      <c r="K25" s="23">
        <v>21</v>
      </c>
      <c r="L25" s="23">
        <v>0</v>
      </c>
      <c r="M25" s="23">
        <v>0</v>
      </c>
      <c r="N25" s="23">
        <v>0</v>
      </c>
      <c r="O25" s="23">
        <v>0</v>
      </c>
      <c r="P25" s="23">
        <v>0</v>
      </c>
    </row>
    <row r="26" spans="1:16" s="22" customFormat="1" ht="15" customHeight="1">
      <c r="A26" s="26" t="s">
        <v>230</v>
      </c>
      <c r="B26" s="327">
        <f t="shared" si="6"/>
        <v>260</v>
      </c>
      <c r="C26" s="23"/>
      <c r="D26" s="209">
        <v>1</v>
      </c>
      <c r="E26" s="209">
        <v>204</v>
      </c>
      <c r="F26" s="209">
        <v>55</v>
      </c>
      <c r="G26" s="327">
        <f t="shared" si="7"/>
        <v>611</v>
      </c>
      <c r="H26" s="327">
        <f t="shared" si="8"/>
        <v>67</v>
      </c>
      <c r="I26" s="23">
        <v>0</v>
      </c>
      <c r="J26" s="23">
        <v>0</v>
      </c>
      <c r="K26" s="23">
        <v>6</v>
      </c>
      <c r="L26" s="23">
        <v>4</v>
      </c>
      <c r="M26" s="23">
        <v>496</v>
      </c>
      <c r="N26" s="23">
        <v>44</v>
      </c>
      <c r="O26" s="23">
        <v>109</v>
      </c>
      <c r="P26" s="23">
        <v>19</v>
      </c>
    </row>
    <row r="27" spans="1:16" s="22" customFormat="1" ht="15" customHeight="1">
      <c r="A27" s="26"/>
      <c r="B27" s="327">
        <f t="shared" si="6"/>
        <v>0</v>
      </c>
      <c r="C27" s="23"/>
      <c r="D27" s="209"/>
      <c r="E27" s="209"/>
      <c r="F27" s="209"/>
      <c r="G27" s="327"/>
      <c r="H27" s="327"/>
      <c r="I27" s="23"/>
      <c r="J27" s="23"/>
      <c r="K27" s="23"/>
      <c r="L27" s="23"/>
      <c r="M27" s="23"/>
      <c r="N27" s="23"/>
      <c r="O27" s="23"/>
      <c r="P27" s="23"/>
    </row>
    <row r="28" spans="1:16" s="62" customFormat="1" ht="15" customHeight="1">
      <c r="A28" s="20" t="s">
        <v>15</v>
      </c>
      <c r="B28" s="21">
        <f t="shared" si="6"/>
        <v>0</v>
      </c>
      <c r="C28" s="21">
        <v>0</v>
      </c>
      <c r="D28" s="21">
        <v>0</v>
      </c>
      <c r="E28" s="21">
        <v>0</v>
      </c>
      <c r="F28" s="21">
        <v>0</v>
      </c>
      <c r="G28" s="21">
        <f aca="true" t="shared" si="9" ref="G28:G37">+I28+M28+K28+O28</f>
        <v>0</v>
      </c>
      <c r="H28" s="308">
        <f t="shared" si="8"/>
        <v>0</v>
      </c>
      <c r="I28" s="21">
        <v>0</v>
      </c>
      <c r="J28" s="21">
        <v>0</v>
      </c>
      <c r="K28" s="21">
        <v>0</v>
      </c>
      <c r="L28" s="21">
        <v>0</v>
      </c>
      <c r="M28" s="21">
        <v>0</v>
      </c>
      <c r="N28" s="21">
        <v>0</v>
      </c>
      <c r="O28" s="21">
        <v>0</v>
      </c>
      <c r="P28" s="21">
        <v>0</v>
      </c>
    </row>
    <row r="29" spans="1:16" s="62" customFormat="1" ht="15" customHeight="1">
      <c r="A29" s="20" t="s">
        <v>16</v>
      </c>
      <c r="B29" s="21">
        <f t="shared" si="6"/>
        <v>0</v>
      </c>
      <c r="C29" s="21">
        <v>0</v>
      </c>
      <c r="D29" s="21">
        <v>0</v>
      </c>
      <c r="E29" s="21">
        <v>0</v>
      </c>
      <c r="F29" s="21">
        <v>0</v>
      </c>
      <c r="G29" s="21">
        <f t="shared" si="9"/>
        <v>0</v>
      </c>
      <c r="H29" s="308">
        <f t="shared" si="8"/>
        <v>0</v>
      </c>
      <c r="I29" s="21">
        <v>0</v>
      </c>
      <c r="J29" s="21">
        <v>0</v>
      </c>
      <c r="K29" s="21">
        <v>0</v>
      </c>
      <c r="L29" s="21">
        <v>0</v>
      </c>
      <c r="M29" s="21">
        <v>0</v>
      </c>
      <c r="N29" s="21">
        <v>0</v>
      </c>
      <c r="O29" s="21">
        <v>0</v>
      </c>
      <c r="P29" s="21">
        <v>0</v>
      </c>
    </row>
    <row r="30" spans="1:16" s="22" customFormat="1" ht="9" customHeight="1" hidden="1">
      <c r="A30" s="25" t="s">
        <v>17</v>
      </c>
      <c r="B30" s="21">
        <v>0</v>
      </c>
      <c r="C30" s="21"/>
      <c r="D30" s="28"/>
      <c r="E30" s="28"/>
      <c r="F30" s="28"/>
      <c r="G30" s="21">
        <f t="shared" si="9"/>
        <v>0</v>
      </c>
      <c r="H30" s="308">
        <f t="shared" si="8"/>
        <v>0</v>
      </c>
      <c r="I30" s="21"/>
      <c r="J30" s="21"/>
      <c r="K30" s="21"/>
      <c r="L30" s="28"/>
      <c r="M30" s="28"/>
      <c r="N30" s="28"/>
      <c r="O30" s="28"/>
      <c r="P30" s="28"/>
    </row>
    <row r="31" spans="1:16" s="62" customFormat="1" ht="15" customHeight="1">
      <c r="A31" s="29" t="s">
        <v>23</v>
      </c>
      <c r="B31" s="21">
        <f aca="true" t="shared" si="10" ref="B31:B37">SUM(C31:F31)</f>
        <v>1</v>
      </c>
      <c r="C31" s="21">
        <v>0</v>
      </c>
      <c r="D31" s="21">
        <v>0</v>
      </c>
      <c r="E31" s="21">
        <v>1</v>
      </c>
      <c r="F31" s="21">
        <v>0</v>
      </c>
      <c r="G31" s="21">
        <f t="shared" si="9"/>
        <v>1</v>
      </c>
      <c r="H31" s="308">
        <f t="shared" si="8"/>
        <v>0</v>
      </c>
      <c r="I31" s="21">
        <v>0</v>
      </c>
      <c r="J31" s="21">
        <v>0</v>
      </c>
      <c r="K31" s="21">
        <v>0</v>
      </c>
      <c r="L31" s="21">
        <v>0</v>
      </c>
      <c r="M31" s="21">
        <v>1</v>
      </c>
      <c r="N31" s="21">
        <v>0</v>
      </c>
      <c r="O31" s="21">
        <v>0</v>
      </c>
      <c r="P31" s="21">
        <v>0</v>
      </c>
    </row>
    <row r="32" spans="1:16" s="22" customFormat="1" ht="15" customHeight="1">
      <c r="A32" s="323" t="s">
        <v>349</v>
      </c>
      <c r="B32" s="21">
        <f t="shared" si="10"/>
        <v>0</v>
      </c>
      <c r="C32" s="21">
        <v>0</v>
      </c>
      <c r="D32" s="21">
        <v>0</v>
      </c>
      <c r="E32" s="21">
        <v>0</v>
      </c>
      <c r="F32" s="21">
        <v>0</v>
      </c>
      <c r="G32" s="21">
        <f t="shared" si="9"/>
        <v>0</v>
      </c>
      <c r="H32" s="308">
        <f>+J32+N32+L32+P32</f>
        <v>0</v>
      </c>
      <c r="I32" s="21">
        <v>0</v>
      </c>
      <c r="J32" s="21">
        <v>0</v>
      </c>
      <c r="K32" s="21">
        <v>0</v>
      </c>
      <c r="L32" s="21">
        <v>0</v>
      </c>
      <c r="M32" s="21">
        <v>0</v>
      </c>
      <c r="N32" s="21">
        <v>0</v>
      </c>
      <c r="O32" s="21">
        <v>0</v>
      </c>
      <c r="P32" s="21">
        <v>0</v>
      </c>
    </row>
    <row r="33" spans="1:16" s="22" customFormat="1" ht="15" customHeight="1" hidden="1">
      <c r="A33" s="257" t="s">
        <v>24</v>
      </c>
      <c r="B33" s="21">
        <f t="shared" si="10"/>
        <v>0</v>
      </c>
      <c r="C33" s="21"/>
      <c r="D33" s="21"/>
      <c r="E33" s="21"/>
      <c r="F33" s="21"/>
      <c r="G33" s="21">
        <f t="shared" si="9"/>
        <v>0</v>
      </c>
      <c r="H33" s="308">
        <f t="shared" si="8"/>
        <v>0</v>
      </c>
      <c r="I33" s="21"/>
      <c r="J33" s="21"/>
      <c r="K33" s="21"/>
      <c r="L33" s="21"/>
      <c r="M33" s="21"/>
      <c r="N33" s="21"/>
      <c r="O33" s="21"/>
      <c r="P33" s="21"/>
    </row>
    <row r="34" spans="1:16" s="22" customFormat="1" ht="15" customHeight="1" hidden="1">
      <c r="A34" s="258" t="s">
        <v>230</v>
      </c>
      <c r="B34" s="21">
        <f t="shared" si="10"/>
        <v>0</v>
      </c>
      <c r="C34" s="21"/>
      <c r="D34" s="21"/>
      <c r="E34" s="21"/>
      <c r="F34" s="21"/>
      <c r="G34" s="21">
        <f t="shared" si="9"/>
        <v>0</v>
      </c>
      <c r="H34" s="308">
        <f t="shared" si="8"/>
        <v>0</v>
      </c>
      <c r="I34" s="21"/>
      <c r="J34" s="21"/>
      <c r="K34" s="21"/>
      <c r="L34" s="21"/>
      <c r="M34" s="21"/>
      <c r="N34" s="21"/>
      <c r="O34" s="21"/>
      <c r="P34" s="21"/>
    </row>
    <row r="35" spans="1:16" s="22" customFormat="1" ht="15" customHeight="1">
      <c r="A35" s="29" t="s">
        <v>25</v>
      </c>
      <c r="B35" s="21">
        <f t="shared" si="10"/>
        <v>0</v>
      </c>
      <c r="C35" s="21">
        <v>0</v>
      </c>
      <c r="D35" s="21">
        <v>0</v>
      </c>
      <c r="E35" s="21">
        <v>0</v>
      </c>
      <c r="F35" s="21">
        <v>0</v>
      </c>
      <c r="G35" s="21">
        <f t="shared" si="9"/>
        <v>0</v>
      </c>
      <c r="H35" s="308">
        <f t="shared" si="8"/>
        <v>0</v>
      </c>
      <c r="I35" s="21">
        <v>0</v>
      </c>
      <c r="J35" s="21">
        <v>0</v>
      </c>
      <c r="K35" s="21">
        <v>0</v>
      </c>
      <c r="L35" s="21">
        <v>0</v>
      </c>
      <c r="M35" s="21">
        <v>0</v>
      </c>
      <c r="N35" s="21">
        <v>0</v>
      </c>
      <c r="O35" s="21">
        <v>0</v>
      </c>
      <c r="P35" s="21">
        <v>0</v>
      </c>
    </row>
    <row r="36" spans="1:16" s="22" customFormat="1" ht="15" customHeight="1" hidden="1">
      <c r="A36" s="20" t="s">
        <v>26</v>
      </c>
      <c r="B36" s="21">
        <f t="shared" si="10"/>
        <v>0</v>
      </c>
      <c r="C36" s="21"/>
      <c r="D36" s="21"/>
      <c r="E36" s="21"/>
      <c r="F36" s="21"/>
      <c r="G36" s="21">
        <f t="shared" si="9"/>
        <v>0</v>
      </c>
      <c r="H36" s="308">
        <f t="shared" si="8"/>
        <v>0</v>
      </c>
      <c r="I36" s="21"/>
      <c r="J36" s="21"/>
      <c r="K36" s="21"/>
      <c r="L36" s="21"/>
      <c r="M36" s="21"/>
      <c r="N36" s="21"/>
      <c r="O36" s="21"/>
      <c r="P36" s="21"/>
    </row>
    <row r="37" spans="1:16" s="32" customFormat="1" ht="15" customHeight="1" thickBot="1">
      <c r="A37" s="30" t="s">
        <v>27</v>
      </c>
      <c r="B37" s="208">
        <f t="shared" si="10"/>
        <v>0</v>
      </c>
      <c r="C37" s="31">
        <v>0</v>
      </c>
      <c r="D37" s="31">
        <v>0</v>
      </c>
      <c r="E37" s="31">
        <v>0</v>
      </c>
      <c r="F37" s="31">
        <v>0</v>
      </c>
      <c r="G37" s="31">
        <f t="shared" si="9"/>
        <v>0</v>
      </c>
      <c r="H37" s="309">
        <f>+J37+N37+L37+P37</f>
        <v>0</v>
      </c>
      <c r="I37" s="31">
        <v>0</v>
      </c>
      <c r="J37" s="31">
        <v>0</v>
      </c>
      <c r="K37" s="31">
        <v>0</v>
      </c>
      <c r="L37" s="31">
        <v>0</v>
      </c>
      <c r="M37" s="31">
        <v>0</v>
      </c>
      <c r="N37" s="31">
        <v>0</v>
      </c>
      <c r="O37" s="31">
        <v>0</v>
      </c>
      <c r="P37" s="31">
        <v>0</v>
      </c>
    </row>
    <row r="38" spans="1:16" s="35" customFormat="1" ht="15" customHeight="1">
      <c r="A38" s="33" t="s">
        <v>270</v>
      </c>
      <c r="B38" s="34"/>
      <c r="C38" s="34"/>
      <c r="D38" s="34"/>
      <c r="E38" s="34" t="s">
        <v>344</v>
      </c>
      <c r="F38" s="34"/>
      <c r="G38" s="34"/>
      <c r="H38" s="34"/>
      <c r="I38" s="34"/>
      <c r="J38" s="34"/>
      <c r="K38" s="34"/>
      <c r="L38" s="34"/>
      <c r="M38" s="34"/>
      <c r="N38" s="34"/>
      <c r="O38" s="34"/>
      <c r="P38" s="34"/>
    </row>
    <row r="39" spans="1:16" s="35" customFormat="1" ht="10.5">
      <c r="A39" s="36" t="s">
        <v>338</v>
      </c>
      <c r="B39" s="34"/>
      <c r="C39" s="34"/>
      <c r="D39" s="34"/>
      <c r="E39" s="34"/>
      <c r="F39" s="34"/>
      <c r="G39" s="34"/>
      <c r="H39" s="34"/>
      <c r="I39" s="34"/>
      <c r="J39" s="34"/>
      <c r="K39" s="34"/>
      <c r="L39" s="34"/>
      <c r="M39" s="34"/>
      <c r="N39" s="34"/>
      <c r="O39" s="34"/>
      <c r="P39" s="34"/>
    </row>
    <row r="40" spans="1:16" s="35" customFormat="1" ht="12.75" customHeight="1">
      <c r="A40" s="36" t="s">
        <v>342</v>
      </c>
      <c r="B40" s="34"/>
      <c r="C40" s="34"/>
      <c r="D40" s="34"/>
      <c r="E40" s="34"/>
      <c r="F40" s="34"/>
      <c r="G40" s="34"/>
      <c r="H40" s="34"/>
      <c r="I40" s="34"/>
      <c r="J40" s="34"/>
      <c r="K40" s="34"/>
      <c r="L40" s="34"/>
      <c r="M40" s="34"/>
      <c r="N40" s="34"/>
      <c r="O40" s="34"/>
      <c r="P40" s="34"/>
    </row>
    <row r="41" s="34" customFormat="1" ht="10.5">
      <c r="A41" s="36"/>
    </row>
    <row r="42" s="34" customFormat="1" ht="10.5">
      <c r="A42" s="36"/>
    </row>
    <row r="43" s="34" customFormat="1" ht="10.5">
      <c r="A43" s="36"/>
    </row>
    <row r="44" s="34" customFormat="1" ht="10.5" hidden="1">
      <c r="A44" s="36"/>
    </row>
    <row r="45" s="34" customFormat="1" ht="10.5">
      <c r="A45" s="36"/>
    </row>
    <row r="46" s="34" customFormat="1" ht="10.5">
      <c r="A46" s="36"/>
    </row>
    <row r="47" s="34" customFormat="1" ht="10.5">
      <c r="A47" s="36"/>
    </row>
    <row r="48" s="34" customFormat="1" ht="10.5">
      <c r="A48" s="36"/>
    </row>
    <row r="49" s="34" customFormat="1" ht="10.5">
      <c r="A49" s="36"/>
    </row>
    <row r="50" s="34" customFormat="1" ht="10.5">
      <c r="A50" s="36"/>
    </row>
    <row r="51" s="34" customFormat="1" ht="10.5">
      <c r="A51" s="36"/>
    </row>
    <row r="52" s="34" customFormat="1" ht="10.5">
      <c r="A52" s="36"/>
    </row>
    <row r="53" s="34" customFormat="1" ht="10.5">
      <c r="A53" s="36"/>
    </row>
    <row r="54" s="34" customFormat="1" ht="10.5">
      <c r="A54" s="36"/>
    </row>
    <row r="55" s="34" customFormat="1" ht="10.5">
      <c r="A55" s="36"/>
    </row>
    <row r="56" s="34" customFormat="1" ht="10.5">
      <c r="A56" s="36"/>
    </row>
    <row r="57" s="34" customFormat="1" ht="10.5">
      <c r="A57" s="36"/>
    </row>
    <row r="58" s="34" customFormat="1" ht="10.5">
      <c r="A58" s="36"/>
    </row>
    <row r="59" s="34" customFormat="1" ht="10.5">
      <c r="A59" s="36"/>
    </row>
    <row r="60" s="34" customFormat="1" ht="10.5">
      <c r="A60" s="36"/>
    </row>
    <row r="61" s="34" customFormat="1" ht="10.5">
      <c r="A61" s="36"/>
    </row>
    <row r="62" s="34" customFormat="1" ht="10.5">
      <c r="A62" s="36"/>
    </row>
    <row r="63" s="34" customFormat="1" ht="10.5">
      <c r="A63" s="36"/>
    </row>
    <row r="64" s="34" customFormat="1" ht="10.5">
      <c r="A64" s="36"/>
    </row>
    <row r="65" s="34" customFormat="1" ht="10.5" hidden="1">
      <c r="A65" s="36"/>
    </row>
    <row r="66" s="34" customFormat="1" ht="10.5">
      <c r="A66" s="36"/>
    </row>
    <row r="67" s="34" customFormat="1" ht="10.5">
      <c r="A67" s="36"/>
    </row>
    <row r="68" s="34" customFormat="1" ht="10.5">
      <c r="A68" s="36"/>
    </row>
    <row r="69" s="34" customFormat="1" ht="10.5">
      <c r="A69" s="36"/>
    </row>
    <row r="70" s="34" customFormat="1" ht="10.5">
      <c r="A70" s="36"/>
    </row>
    <row r="71" s="34" customFormat="1" ht="10.5">
      <c r="A71" s="36"/>
    </row>
    <row r="72" s="34" customFormat="1" ht="10.5">
      <c r="A72" s="36"/>
    </row>
    <row r="73" s="34" customFormat="1" ht="10.5">
      <c r="A73" s="36"/>
    </row>
    <row r="74" s="34" customFormat="1" ht="10.5">
      <c r="A74" s="36"/>
    </row>
    <row r="75" s="34" customFormat="1" ht="10.5">
      <c r="A75" s="36"/>
    </row>
    <row r="76" s="34" customFormat="1" ht="10.5">
      <c r="A76" s="36"/>
    </row>
    <row r="77" s="34" customFormat="1" ht="10.5">
      <c r="A77" s="36"/>
    </row>
    <row r="78" s="34" customFormat="1" ht="10.5">
      <c r="A78" s="36"/>
    </row>
    <row r="79" spans="1:9" s="34" customFormat="1" ht="10.5">
      <c r="A79" s="36"/>
      <c r="I79" s="34">
        <v>0</v>
      </c>
    </row>
    <row r="80" s="34" customFormat="1" ht="10.5">
      <c r="A80" s="36"/>
    </row>
    <row r="81" s="34" customFormat="1" ht="10.5">
      <c r="A81" s="36"/>
    </row>
    <row r="82" s="34" customFormat="1" ht="10.5">
      <c r="A82" s="36"/>
    </row>
    <row r="83" s="34" customFormat="1" ht="10.5">
      <c r="A83" s="36"/>
    </row>
    <row r="84" s="34" customFormat="1" ht="10.5">
      <c r="A84" s="36"/>
    </row>
    <row r="85" s="34" customFormat="1" ht="10.5">
      <c r="A85" s="36"/>
    </row>
    <row r="86" s="34" customFormat="1" ht="10.5" hidden="1">
      <c r="A86" s="36"/>
    </row>
    <row r="87" s="34" customFormat="1" ht="10.5">
      <c r="A87" s="36"/>
    </row>
    <row r="88" s="34" customFormat="1" ht="10.5">
      <c r="A88" s="36"/>
    </row>
    <row r="89" s="34" customFormat="1" ht="10.5">
      <c r="A89" s="36"/>
    </row>
    <row r="90" s="34" customFormat="1" ht="10.5">
      <c r="A90" s="36"/>
    </row>
    <row r="91" s="34" customFormat="1" ht="10.5">
      <c r="A91" s="36"/>
    </row>
    <row r="92" s="34" customFormat="1" ht="10.5">
      <c r="A92" s="36"/>
    </row>
    <row r="93" s="34" customFormat="1" ht="10.5">
      <c r="A93" s="36"/>
    </row>
    <row r="94" s="34" customFormat="1" ht="10.5">
      <c r="A94" s="36"/>
    </row>
    <row r="95" s="34" customFormat="1" ht="10.5">
      <c r="A95" s="36"/>
    </row>
    <row r="96" s="34" customFormat="1" ht="10.5">
      <c r="A96" s="36"/>
    </row>
    <row r="97" s="34" customFormat="1" ht="10.5">
      <c r="A97" s="36"/>
    </row>
    <row r="98" s="34" customFormat="1" ht="10.5">
      <c r="A98" s="36"/>
    </row>
    <row r="99" spans="1:9" s="34" customFormat="1" ht="10.5">
      <c r="A99" s="36"/>
      <c r="I99" s="34">
        <v>0</v>
      </c>
    </row>
    <row r="100" s="34" customFormat="1" ht="10.5">
      <c r="A100" s="36"/>
    </row>
    <row r="101" s="34" customFormat="1" ht="10.5">
      <c r="A101" s="36"/>
    </row>
    <row r="102" s="34" customFormat="1" ht="10.5">
      <c r="A102" s="36"/>
    </row>
    <row r="103" s="34" customFormat="1" ht="10.5">
      <c r="A103" s="36"/>
    </row>
    <row r="104" s="34" customFormat="1" ht="10.5">
      <c r="A104" s="36"/>
    </row>
    <row r="105" s="34" customFormat="1" ht="10.5">
      <c r="A105" s="36"/>
    </row>
    <row r="106" s="34" customFormat="1" ht="10.5">
      <c r="A106" s="36"/>
    </row>
    <row r="107" s="34" customFormat="1" ht="0.75" customHeight="1">
      <c r="A107" s="36"/>
    </row>
    <row r="108" s="34" customFormat="1" ht="10.5">
      <c r="A108" s="36"/>
    </row>
    <row r="109" s="34" customFormat="1" ht="10.5">
      <c r="A109" s="36"/>
    </row>
    <row r="110" s="34" customFormat="1" ht="10.5">
      <c r="A110" s="36"/>
    </row>
    <row r="111" s="34" customFormat="1" ht="10.5">
      <c r="A111" s="36"/>
    </row>
    <row r="112" spans="1:2" s="34" customFormat="1" ht="10.5">
      <c r="A112" s="36"/>
      <c r="B112" s="34" t="s">
        <v>359</v>
      </c>
    </row>
    <row r="113" s="34" customFormat="1" ht="10.5">
      <c r="A113" s="36"/>
    </row>
    <row r="114" s="34" customFormat="1" ht="10.5">
      <c r="A114" s="36"/>
    </row>
    <row r="115" s="34" customFormat="1" ht="10.5">
      <c r="A115" s="36"/>
    </row>
    <row r="116" s="34" customFormat="1" ht="10.5">
      <c r="A116" s="36"/>
    </row>
    <row r="117" s="34" customFormat="1" ht="10.5">
      <c r="A117" s="36"/>
    </row>
    <row r="118" s="34" customFormat="1" ht="10.5">
      <c r="A118" s="36"/>
    </row>
    <row r="119" s="34" customFormat="1" ht="10.5">
      <c r="A119" s="36"/>
    </row>
    <row r="120" s="34" customFormat="1" ht="10.5">
      <c r="A120" s="36"/>
    </row>
    <row r="121" s="34" customFormat="1" ht="10.5">
      <c r="A121" s="36"/>
    </row>
    <row r="122" s="34" customFormat="1" ht="10.5">
      <c r="A122" s="36"/>
    </row>
    <row r="123" s="34" customFormat="1" ht="10.5">
      <c r="A123" s="36"/>
    </row>
    <row r="124" s="34" customFormat="1" ht="10.5">
      <c r="A124" s="36"/>
    </row>
    <row r="125" s="34" customFormat="1" ht="10.5">
      <c r="A125" s="36"/>
    </row>
    <row r="126" s="34" customFormat="1" ht="10.5">
      <c r="A126" s="36"/>
    </row>
    <row r="127" s="34" customFormat="1" ht="10.5">
      <c r="A127" s="36"/>
    </row>
    <row r="128" s="34" customFormat="1" ht="10.5">
      <c r="A128" s="36"/>
    </row>
    <row r="129" s="34" customFormat="1" ht="10.5">
      <c r="A129" s="36"/>
    </row>
    <row r="130" s="34" customFormat="1" ht="10.5">
      <c r="A130" s="36"/>
    </row>
    <row r="131" s="34" customFormat="1" ht="10.5">
      <c r="A131" s="36"/>
    </row>
    <row r="132" s="34" customFormat="1" ht="10.5">
      <c r="A132" s="36"/>
    </row>
    <row r="133" s="34" customFormat="1" ht="10.5">
      <c r="A133" s="36"/>
    </row>
    <row r="134" s="34" customFormat="1" ht="10.5">
      <c r="A134" s="36"/>
    </row>
    <row r="135" s="34" customFormat="1" ht="10.5">
      <c r="A135" s="36"/>
    </row>
    <row r="136" s="34" customFormat="1" ht="10.5">
      <c r="A136" s="36"/>
    </row>
    <row r="137" s="34" customFormat="1" ht="10.5">
      <c r="A137" s="36"/>
    </row>
    <row r="138" s="34" customFormat="1" ht="10.5">
      <c r="A138" s="36"/>
    </row>
    <row r="139" s="34" customFormat="1" ht="10.5">
      <c r="A139" s="36"/>
    </row>
    <row r="140" s="34" customFormat="1" ht="10.5">
      <c r="A140" s="36"/>
    </row>
    <row r="141" s="34" customFormat="1" ht="10.5">
      <c r="A141" s="36"/>
    </row>
    <row r="142" s="34" customFormat="1" ht="10.5">
      <c r="A142" s="36"/>
    </row>
    <row r="143" s="34" customFormat="1" ht="10.5">
      <c r="A143" s="36"/>
    </row>
    <row r="144" s="34" customFormat="1" ht="10.5">
      <c r="A144" s="36"/>
    </row>
    <row r="145" s="34" customFormat="1" ht="10.5">
      <c r="A145" s="36"/>
    </row>
    <row r="146" s="34" customFormat="1" ht="10.5">
      <c r="A146" s="36"/>
    </row>
    <row r="147" s="34" customFormat="1" ht="10.5">
      <c r="A147" s="36"/>
    </row>
    <row r="148" s="34" customFormat="1" ht="10.5">
      <c r="A148" s="36"/>
    </row>
    <row r="149" s="34" customFormat="1" ht="10.5">
      <c r="A149" s="36"/>
    </row>
    <row r="150" s="34" customFormat="1" ht="10.5">
      <c r="A150" s="36"/>
    </row>
    <row r="151" s="34" customFormat="1" ht="10.5">
      <c r="A151" s="36"/>
    </row>
    <row r="152" s="34" customFormat="1" ht="10.5">
      <c r="A152" s="36"/>
    </row>
    <row r="153" s="34" customFormat="1" ht="10.5">
      <c r="A153" s="36"/>
    </row>
    <row r="154" s="34" customFormat="1" ht="10.5">
      <c r="A154" s="36"/>
    </row>
    <row r="155" s="34" customFormat="1" ht="10.5">
      <c r="A155" s="36"/>
    </row>
    <row r="156" s="34" customFormat="1" ht="10.5">
      <c r="A156" s="36"/>
    </row>
    <row r="157" s="34" customFormat="1" ht="10.5">
      <c r="A157" s="36"/>
    </row>
    <row r="158" s="34" customFormat="1" ht="10.5">
      <c r="A158" s="36"/>
    </row>
    <row r="159" s="34" customFormat="1" ht="10.5">
      <c r="A159" s="36"/>
    </row>
    <row r="160" s="34" customFormat="1" ht="10.5">
      <c r="A160" s="36"/>
    </row>
    <row r="161" s="34" customFormat="1" ht="10.5">
      <c r="A161" s="36"/>
    </row>
    <row r="162" s="34" customFormat="1" ht="10.5">
      <c r="A162" s="36"/>
    </row>
    <row r="163" s="34" customFormat="1" ht="10.5">
      <c r="A163" s="36"/>
    </row>
    <row r="164" s="34" customFormat="1" ht="10.5">
      <c r="A164" s="36"/>
    </row>
    <row r="165" s="34" customFormat="1" ht="10.5">
      <c r="A165" s="36"/>
    </row>
    <row r="166" s="34" customFormat="1" ht="10.5">
      <c r="A166" s="36"/>
    </row>
    <row r="167" s="34" customFormat="1" ht="10.5">
      <c r="A167" s="36"/>
    </row>
    <row r="168" s="34" customFormat="1" ht="10.5">
      <c r="A168" s="36"/>
    </row>
    <row r="169" s="34" customFormat="1" ht="10.5">
      <c r="A169" s="36"/>
    </row>
    <row r="170" s="34" customFormat="1" ht="10.5">
      <c r="A170" s="36"/>
    </row>
    <row r="171" s="34" customFormat="1" ht="10.5">
      <c r="A171" s="36"/>
    </row>
    <row r="172" s="34" customFormat="1" ht="10.5">
      <c r="A172" s="36"/>
    </row>
    <row r="173" s="34" customFormat="1" ht="10.5">
      <c r="A173" s="36"/>
    </row>
    <row r="174" s="34" customFormat="1" ht="10.5">
      <c r="A174" s="36"/>
    </row>
    <row r="175" s="34" customFormat="1" ht="10.5">
      <c r="A175" s="36"/>
    </row>
    <row r="176" s="34" customFormat="1" ht="10.5">
      <c r="A176" s="36"/>
    </row>
    <row r="177" s="34" customFormat="1" ht="10.5">
      <c r="A177" s="36"/>
    </row>
    <row r="178" s="34" customFormat="1" ht="10.5">
      <c r="A178" s="36"/>
    </row>
    <row r="179" s="34" customFormat="1" ht="10.5">
      <c r="A179" s="36"/>
    </row>
    <row r="180" s="34" customFormat="1" ht="10.5">
      <c r="A180" s="36"/>
    </row>
    <row r="181" s="34" customFormat="1" ht="10.5">
      <c r="A181" s="36"/>
    </row>
    <row r="182" s="34" customFormat="1" ht="10.5">
      <c r="A182" s="36"/>
    </row>
    <row r="183" s="34" customFormat="1" ht="10.5">
      <c r="A183" s="36"/>
    </row>
    <row r="184" s="34" customFormat="1" ht="10.5">
      <c r="A184" s="36"/>
    </row>
    <row r="185" s="34" customFormat="1" ht="10.5">
      <c r="A185" s="36"/>
    </row>
    <row r="186" s="34" customFormat="1" ht="10.5">
      <c r="A186" s="36"/>
    </row>
    <row r="187" s="34" customFormat="1" ht="10.5">
      <c r="A187" s="36"/>
    </row>
    <row r="188" s="34" customFormat="1" ht="10.5">
      <c r="A188" s="36"/>
    </row>
    <row r="189" s="34" customFormat="1" ht="10.5">
      <c r="A189" s="36"/>
    </row>
    <row r="190" s="34" customFormat="1" ht="10.5">
      <c r="A190" s="36"/>
    </row>
    <row r="191" s="34" customFormat="1" ht="10.5">
      <c r="A191" s="36"/>
    </row>
    <row r="192" s="34" customFormat="1" ht="10.5">
      <c r="A192" s="36"/>
    </row>
    <row r="193" s="34" customFormat="1" ht="10.5">
      <c r="A193" s="36"/>
    </row>
    <row r="194" s="34" customFormat="1" ht="10.5">
      <c r="A194" s="36"/>
    </row>
    <row r="195" s="34" customFormat="1" ht="10.5">
      <c r="A195" s="36"/>
    </row>
    <row r="196" s="34" customFormat="1" ht="10.5">
      <c r="A196" s="36"/>
    </row>
    <row r="197" s="34" customFormat="1" ht="10.5">
      <c r="A197" s="36"/>
    </row>
    <row r="198" s="34" customFormat="1" ht="10.5">
      <c r="A198" s="36"/>
    </row>
    <row r="199" s="34" customFormat="1" ht="10.5">
      <c r="A199" s="36"/>
    </row>
    <row r="200" s="34" customFormat="1" ht="10.5">
      <c r="A200" s="36"/>
    </row>
    <row r="201" s="34" customFormat="1" ht="10.5">
      <c r="A201" s="36"/>
    </row>
    <row r="202" s="34" customFormat="1" ht="10.5">
      <c r="A202" s="36"/>
    </row>
    <row r="203" s="34" customFormat="1" ht="10.5">
      <c r="A203" s="36"/>
    </row>
    <row r="204" s="34" customFormat="1" ht="10.5">
      <c r="A204" s="36"/>
    </row>
    <row r="205" s="34" customFormat="1" ht="10.5">
      <c r="A205" s="36"/>
    </row>
    <row r="206" s="34" customFormat="1" ht="10.5">
      <c r="A206" s="36"/>
    </row>
    <row r="207" s="34" customFormat="1" ht="10.5">
      <c r="A207" s="36"/>
    </row>
    <row r="208" s="34" customFormat="1" ht="10.5">
      <c r="A208" s="36"/>
    </row>
    <row r="209" s="34" customFormat="1" ht="10.5">
      <c r="A209" s="36"/>
    </row>
    <row r="210" s="34" customFormat="1" ht="10.5">
      <c r="A210" s="36"/>
    </row>
    <row r="211" s="34" customFormat="1" ht="10.5">
      <c r="A211" s="36"/>
    </row>
    <row r="212" s="34" customFormat="1" ht="10.5">
      <c r="A212" s="36"/>
    </row>
    <row r="213" s="34" customFormat="1" ht="10.5">
      <c r="A213" s="36"/>
    </row>
    <row r="214" s="34" customFormat="1" ht="10.5">
      <c r="A214" s="36"/>
    </row>
    <row r="215" s="34" customFormat="1" ht="10.5">
      <c r="A215" s="36"/>
    </row>
    <row r="216" s="34" customFormat="1" ht="10.5">
      <c r="A216" s="36"/>
    </row>
    <row r="217" s="34" customFormat="1" ht="10.5">
      <c r="A217" s="36"/>
    </row>
  </sheetData>
  <sheetProtection/>
  <mergeCells count="1">
    <mergeCell ref="A3:A5"/>
  </mergeCells>
  <printOptions horizontalCentered="1" verticalCentered="1"/>
  <pageMargins left="0.15748031496062992" right="0.15748031496062992" top="0.1968503937007874" bottom="0" header="0.31496062992125984" footer="0.31496062992125984"/>
  <pageSetup horizontalDpi="600" verticalDpi="600" orientation="landscape" paperSize="9" scale="99" r:id="rId3"/>
  <legacyDrawing r:id="rId2"/>
</worksheet>
</file>

<file path=xl/worksheets/sheet5.xml><?xml version="1.0" encoding="utf-8"?>
<worksheet xmlns="http://schemas.openxmlformats.org/spreadsheetml/2006/main" xmlns:r="http://schemas.openxmlformats.org/officeDocument/2006/relationships">
  <dimension ref="A1:BR120"/>
  <sheetViews>
    <sheetView view="pageBreakPreview" zoomScaleSheetLayoutView="100" zoomScalePageLayoutView="0" workbookViewId="0" topLeftCell="A1">
      <pane xSplit="2" ySplit="15" topLeftCell="C30" activePane="bottomRight" state="frozen"/>
      <selection pane="topLeft" activeCell="B26" sqref="B26:B27"/>
      <selection pane="topRight" activeCell="B26" sqref="B26:B27"/>
      <selection pane="bottomLeft" activeCell="B26" sqref="B26:B27"/>
      <selection pane="bottomRight" activeCell="V60" sqref="V60"/>
    </sheetView>
  </sheetViews>
  <sheetFormatPr defaultColWidth="9.00390625" defaultRowHeight="16.5"/>
  <cols>
    <col min="1" max="1" width="5.625" style="41" customWidth="1"/>
    <col min="2" max="2" width="21.625" style="41" customWidth="1"/>
    <col min="3" max="3" width="7.125" style="41" customWidth="1"/>
    <col min="4" max="7" width="7.125" style="43" customWidth="1"/>
    <col min="8" max="9" width="7.625" style="43" customWidth="1"/>
    <col min="10" max="13" width="6.625" style="43" customWidth="1"/>
    <col min="14" max="14" width="5.875" style="43" customWidth="1"/>
    <col min="15" max="15" width="7.375" style="43" bestFit="1" customWidth="1"/>
    <col min="16" max="16" width="5.875" style="43" customWidth="1"/>
    <col min="17" max="17" width="7.375" style="43" bestFit="1" customWidth="1"/>
    <col min="18" max="18" width="5.875" style="43" customWidth="1"/>
    <col min="19" max="19" width="8.125" style="43" bestFit="1" customWidth="1"/>
    <col min="20" max="24" width="9.00390625" style="43" customWidth="1"/>
    <col min="25" max="16384" width="9.00390625" style="41" customWidth="1"/>
  </cols>
  <sheetData>
    <row r="1" spans="1:24" ht="18" customHeight="1">
      <c r="A1" s="144" t="s">
        <v>334</v>
      </c>
      <c r="B1" s="72"/>
      <c r="C1" s="71"/>
      <c r="D1" s="72"/>
      <c r="E1" s="73"/>
      <c r="F1" s="73"/>
      <c r="G1" s="73"/>
      <c r="H1" s="72"/>
      <c r="I1" s="72"/>
      <c r="J1" s="72"/>
      <c r="K1" s="72"/>
      <c r="L1" s="72"/>
      <c r="M1" s="72"/>
      <c r="N1" s="72"/>
      <c r="O1" s="72"/>
      <c r="P1" s="72"/>
      <c r="Q1" s="72"/>
      <c r="R1" s="476"/>
      <c r="S1" s="476"/>
      <c r="T1" s="41"/>
      <c r="U1" s="41"/>
      <c r="V1" s="41"/>
      <c r="W1" s="41"/>
      <c r="X1" s="41"/>
    </row>
    <row r="2" spans="1:19" ht="4.5" customHeight="1">
      <c r="A2" s="76"/>
      <c r="B2" s="76"/>
      <c r="C2" s="76"/>
      <c r="D2" s="145"/>
      <c r="E2" s="145"/>
      <c r="F2" s="145"/>
      <c r="G2" s="145"/>
      <c r="H2" s="145"/>
      <c r="I2" s="145"/>
      <c r="J2" s="145"/>
      <c r="K2" s="145"/>
      <c r="L2" s="145"/>
      <c r="M2" s="145"/>
      <c r="N2" s="145"/>
      <c r="O2" s="145"/>
      <c r="P2" s="145"/>
      <c r="Q2" s="145"/>
      <c r="R2" s="476"/>
      <c r="S2" s="476"/>
    </row>
    <row r="3" spans="1:19" ht="6.75" customHeight="1" thickBot="1">
      <c r="A3" s="76"/>
      <c r="B3" s="78"/>
      <c r="C3" s="78"/>
      <c r="D3" s="146"/>
      <c r="E3" s="146"/>
      <c r="F3" s="146"/>
      <c r="G3" s="146"/>
      <c r="H3" s="146"/>
      <c r="I3" s="146"/>
      <c r="J3" s="146"/>
      <c r="K3" s="146"/>
      <c r="L3" s="146"/>
      <c r="M3" s="146"/>
      <c r="N3" s="146"/>
      <c r="O3" s="146"/>
      <c r="P3" s="147"/>
      <c r="R3" s="477"/>
      <c r="S3" s="477"/>
    </row>
    <row r="4" spans="1:70" s="57" customFormat="1" ht="9" customHeight="1">
      <c r="A4" s="470"/>
      <c r="B4" s="471"/>
      <c r="C4" s="148" t="s">
        <v>28</v>
      </c>
      <c r="D4" s="149"/>
      <c r="E4" s="150" t="s">
        <v>29</v>
      </c>
      <c r="F4" s="150"/>
      <c r="G4" s="150"/>
      <c r="H4" s="150" t="s">
        <v>220</v>
      </c>
      <c r="I4" s="150"/>
      <c r="J4" s="150"/>
      <c r="K4" s="150" t="s">
        <v>221</v>
      </c>
      <c r="L4" s="150"/>
      <c r="M4" s="150"/>
      <c r="N4" s="150" t="s">
        <v>222</v>
      </c>
      <c r="O4" s="150"/>
      <c r="P4" s="150" t="s">
        <v>224</v>
      </c>
      <c r="Q4" s="150"/>
      <c r="R4" s="150"/>
      <c r="S4" s="151" t="s">
        <v>308</v>
      </c>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row>
    <row r="5" spans="1:70" s="57" customFormat="1" ht="9" customHeight="1">
      <c r="A5" s="472"/>
      <c r="B5" s="473"/>
      <c r="C5" s="153" t="s">
        <v>30</v>
      </c>
      <c r="D5" s="154" t="s">
        <v>0</v>
      </c>
      <c r="E5" s="155" t="s">
        <v>30</v>
      </c>
      <c r="F5" s="156" t="s">
        <v>179</v>
      </c>
      <c r="G5" s="156"/>
      <c r="I5" s="153"/>
      <c r="J5" s="153"/>
      <c r="K5" s="153"/>
      <c r="L5" s="156" t="s">
        <v>96</v>
      </c>
      <c r="M5" s="156"/>
      <c r="N5" s="154" t="s">
        <v>32</v>
      </c>
      <c r="O5" s="154" t="s">
        <v>33</v>
      </c>
      <c r="P5" s="154" t="s">
        <v>32</v>
      </c>
      <c r="Q5" s="157" t="s">
        <v>2</v>
      </c>
      <c r="R5" s="153" t="s">
        <v>3</v>
      </c>
      <c r="S5" s="158"/>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row>
    <row r="6" spans="1:70" s="57" customFormat="1" ht="9" customHeight="1">
      <c r="A6" s="472"/>
      <c r="B6" s="473"/>
      <c r="C6" s="153"/>
      <c r="D6" s="154"/>
      <c r="E6" s="154"/>
      <c r="F6" s="159" t="s">
        <v>38</v>
      </c>
      <c r="G6" s="159" t="s">
        <v>33</v>
      </c>
      <c r="H6" s="223" t="s">
        <v>196</v>
      </c>
      <c r="I6" s="224" t="s">
        <v>197</v>
      </c>
      <c r="J6" s="224" t="s">
        <v>198</v>
      </c>
      <c r="K6" s="226" t="s">
        <v>145</v>
      </c>
      <c r="L6" s="159" t="s">
        <v>36</v>
      </c>
      <c r="M6" s="159" t="s">
        <v>37</v>
      </c>
      <c r="N6" s="154"/>
      <c r="O6" s="154"/>
      <c r="P6" s="154"/>
      <c r="Q6" s="157"/>
      <c r="R6" s="153"/>
      <c r="S6" s="158"/>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row>
    <row r="7" spans="1:70" s="57" customFormat="1" ht="9" customHeight="1">
      <c r="A7" s="472"/>
      <c r="B7" s="473"/>
      <c r="C7" s="153"/>
      <c r="D7" s="154"/>
      <c r="E7" s="154"/>
      <c r="F7" s="154"/>
      <c r="G7" s="154"/>
      <c r="H7" s="225" t="s">
        <v>173</v>
      </c>
      <c r="I7" s="154" t="s">
        <v>35</v>
      </c>
      <c r="J7" s="157" t="s">
        <v>34</v>
      </c>
      <c r="K7" s="157" t="s">
        <v>95</v>
      </c>
      <c r="L7" s="227"/>
      <c r="M7" s="227"/>
      <c r="N7" s="154"/>
      <c r="O7" s="154"/>
      <c r="P7" s="154"/>
      <c r="Q7" s="157"/>
      <c r="R7" s="153"/>
      <c r="S7" s="154"/>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row>
    <row r="8" spans="1:70" s="57" customFormat="1" ht="9" customHeight="1">
      <c r="A8" s="472"/>
      <c r="B8" s="473"/>
      <c r="C8" s="153"/>
      <c r="D8" s="154"/>
      <c r="E8" s="154"/>
      <c r="F8" s="154"/>
      <c r="G8" s="154"/>
      <c r="H8" s="154"/>
      <c r="I8" s="154" t="s">
        <v>40</v>
      </c>
      <c r="J8" s="157" t="s">
        <v>41</v>
      </c>
      <c r="K8" s="157"/>
      <c r="L8" s="154"/>
      <c r="M8" s="154"/>
      <c r="N8" s="154"/>
      <c r="O8" s="154"/>
      <c r="P8" s="154"/>
      <c r="Q8" s="157"/>
      <c r="R8" s="153"/>
      <c r="S8" s="154"/>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row>
    <row r="9" spans="1:70" s="57" customFormat="1" ht="9" customHeight="1">
      <c r="A9" s="472"/>
      <c r="B9" s="473"/>
      <c r="C9" s="153"/>
      <c r="D9" s="154"/>
      <c r="E9" s="154"/>
      <c r="F9" s="154"/>
      <c r="G9" s="154" t="s">
        <v>43</v>
      </c>
      <c r="H9" s="154" t="s">
        <v>174</v>
      </c>
      <c r="I9" s="154" t="s">
        <v>39</v>
      </c>
      <c r="J9" s="157" t="s">
        <v>42</v>
      </c>
      <c r="K9" s="157" t="s">
        <v>199</v>
      </c>
      <c r="L9" s="154"/>
      <c r="M9" s="154"/>
      <c r="N9" s="154"/>
      <c r="O9" s="154"/>
      <c r="P9" s="154"/>
      <c r="Q9" s="157" t="s">
        <v>44</v>
      </c>
      <c r="R9" s="153"/>
      <c r="S9" s="154" t="s">
        <v>104</v>
      </c>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row>
    <row r="10" spans="1:70" s="57" customFormat="1" ht="9" customHeight="1">
      <c r="A10" s="472"/>
      <c r="B10" s="473"/>
      <c r="C10" s="153"/>
      <c r="D10" s="154"/>
      <c r="E10" s="154" t="s">
        <v>8</v>
      </c>
      <c r="F10" s="154"/>
      <c r="G10" s="154"/>
      <c r="H10" s="154"/>
      <c r="I10" s="154"/>
      <c r="J10" s="157" t="s">
        <v>45</v>
      </c>
      <c r="K10" s="157"/>
      <c r="L10" s="154"/>
      <c r="M10" s="154"/>
      <c r="N10" s="154"/>
      <c r="O10" s="154"/>
      <c r="P10" s="154"/>
      <c r="Q10" s="157"/>
      <c r="R10" s="153"/>
      <c r="S10" s="158"/>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row>
    <row r="11" spans="1:70" s="57" customFormat="1" ht="9" customHeight="1">
      <c r="A11" s="472"/>
      <c r="B11" s="473"/>
      <c r="C11" s="153"/>
      <c r="D11" s="154"/>
      <c r="E11" s="154"/>
      <c r="F11" s="154"/>
      <c r="G11" s="154"/>
      <c r="H11" s="154" t="s">
        <v>175</v>
      </c>
      <c r="I11" s="154" t="s">
        <v>105</v>
      </c>
      <c r="J11" s="154" t="s">
        <v>95</v>
      </c>
      <c r="K11" s="157" t="s">
        <v>175</v>
      </c>
      <c r="L11" s="154"/>
      <c r="M11" s="154"/>
      <c r="N11" s="154"/>
      <c r="O11" s="154"/>
      <c r="P11" s="154"/>
      <c r="Q11" s="157"/>
      <c r="R11" s="153"/>
      <c r="S11" s="154"/>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row>
    <row r="12" spans="1:70" s="57" customFormat="1" ht="9" customHeight="1">
      <c r="A12" s="472"/>
      <c r="B12" s="473"/>
      <c r="C12" s="153"/>
      <c r="D12" s="154"/>
      <c r="E12" s="154"/>
      <c r="F12" s="154"/>
      <c r="G12" s="154" t="s">
        <v>47</v>
      </c>
      <c r="H12" s="154"/>
      <c r="I12" s="154" t="s">
        <v>41</v>
      </c>
      <c r="J12" s="154" t="s">
        <v>41</v>
      </c>
      <c r="K12" s="157"/>
      <c r="L12" s="154"/>
      <c r="M12" s="154"/>
      <c r="N12" s="154"/>
      <c r="O12" s="154"/>
      <c r="P12" s="154"/>
      <c r="Q12" s="157"/>
      <c r="R12" s="153"/>
      <c r="S12" s="154"/>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row>
    <row r="13" spans="1:70" s="57" customFormat="1" ht="9" customHeight="1">
      <c r="A13" s="472"/>
      <c r="B13" s="473"/>
      <c r="C13" s="153"/>
      <c r="D13" s="154"/>
      <c r="E13" s="154"/>
      <c r="F13" s="154"/>
      <c r="G13" s="154"/>
      <c r="H13" s="154" t="s">
        <v>176</v>
      </c>
      <c r="I13" s="154" t="s">
        <v>106</v>
      </c>
      <c r="J13" s="154" t="s">
        <v>106</v>
      </c>
      <c r="K13" s="157" t="s">
        <v>200</v>
      </c>
      <c r="L13" s="154"/>
      <c r="M13" s="154"/>
      <c r="N13" s="154"/>
      <c r="O13" s="154"/>
      <c r="P13" s="154"/>
      <c r="Q13" s="157"/>
      <c r="R13" s="153"/>
      <c r="S13" s="154"/>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row>
    <row r="14" spans="1:70" s="57" customFormat="1" ht="13.5" customHeight="1">
      <c r="A14" s="472"/>
      <c r="B14" s="473"/>
      <c r="C14" s="153" t="s">
        <v>31</v>
      </c>
      <c r="D14" s="154" t="s">
        <v>8</v>
      </c>
      <c r="E14" s="154"/>
      <c r="F14" s="154" t="s">
        <v>52</v>
      </c>
      <c r="G14" s="154" t="s">
        <v>52</v>
      </c>
      <c r="H14" s="160"/>
      <c r="I14" s="154" t="s">
        <v>48</v>
      </c>
      <c r="J14" s="154" t="s">
        <v>48</v>
      </c>
      <c r="K14" s="157"/>
      <c r="L14" s="154" t="s">
        <v>50</v>
      </c>
      <c r="M14" s="154" t="s">
        <v>51</v>
      </c>
      <c r="N14" s="154" t="s">
        <v>52</v>
      </c>
      <c r="O14" s="154" t="s">
        <v>53</v>
      </c>
      <c r="P14" s="154" t="s">
        <v>54</v>
      </c>
      <c r="Q14" s="157" t="s">
        <v>55</v>
      </c>
      <c r="R14" s="153" t="s">
        <v>10</v>
      </c>
      <c r="S14" s="154" t="s">
        <v>107</v>
      </c>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row>
    <row r="15" spans="1:70" s="57" customFormat="1" ht="9" customHeight="1" thickBot="1">
      <c r="A15" s="474"/>
      <c r="B15" s="475"/>
      <c r="C15" s="143"/>
      <c r="D15" s="161"/>
      <c r="E15" s="161"/>
      <c r="F15" s="161"/>
      <c r="G15" s="161"/>
      <c r="H15" s="161"/>
      <c r="I15" s="161"/>
      <c r="J15" s="161"/>
      <c r="K15" s="161"/>
      <c r="L15" s="162"/>
      <c r="M15" s="161"/>
      <c r="N15" s="162"/>
      <c r="O15" s="161"/>
      <c r="P15" s="161"/>
      <c r="Q15" s="162"/>
      <c r="R15" s="163"/>
      <c r="S15" s="161"/>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row>
    <row r="16" spans="1:19" s="22" customFormat="1" ht="13.5" customHeight="1">
      <c r="A16" s="478" t="s">
        <v>345</v>
      </c>
      <c r="B16" s="85" t="s">
        <v>64</v>
      </c>
      <c r="C16" s="86"/>
      <c r="D16" s="86"/>
      <c r="E16" s="86"/>
      <c r="F16" s="87" t="s">
        <v>30</v>
      </c>
      <c r="G16" s="87" t="s">
        <v>30</v>
      </c>
      <c r="H16" s="87"/>
      <c r="I16" s="87"/>
      <c r="J16" s="87"/>
      <c r="K16" s="87"/>
      <c r="L16" s="87" t="s">
        <v>30</v>
      </c>
      <c r="M16" s="87" t="s">
        <v>30</v>
      </c>
      <c r="N16" s="87" t="s">
        <v>30</v>
      </c>
      <c r="O16" s="87" t="s">
        <v>30</v>
      </c>
      <c r="P16" s="87" t="s">
        <v>30</v>
      </c>
      <c r="Q16" s="87" t="s">
        <v>30</v>
      </c>
      <c r="R16" s="87" t="s">
        <v>30</v>
      </c>
      <c r="S16" s="87"/>
    </row>
    <row r="17" spans="1:19" s="22" customFormat="1" ht="9" customHeight="1" hidden="1">
      <c r="A17" s="479"/>
      <c r="B17" s="25" t="s">
        <v>151</v>
      </c>
      <c r="C17" s="91">
        <v>6</v>
      </c>
      <c r="D17" s="91">
        <f aca="true" t="shared" si="0" ref="D17:D24">SUM(E17,N17:R17)</f>
        <v>8</v>
      </c>
      <c r="E17" s="91">
        <f aca="true" t="shared" si="1" ref="E17:E23">SUM(H17:M17)</f>
        <v>8</v>
      </c>
      <c r="F17" s="93">
        <v>0</v>
      </c>
      <c r="G17" s="93">
        <v>0</v>
      </c>
      <c r="H17" s="93">
        <v>4</v>
      </c>
      <c r="I17" s="93">
        <v>0</v>
      </c>
      <c r="J17" s="93">
        <v>0</v>
      </c>
      <c r="K17" s="93">
        <v>0</v>
      </c>
      <c r="L17" s="93">
        <v>3</v>
      </c>
      <c r="M17" s="93">
        <v>1</v>
      </c>
      <c r="N17" s="93">
        <v>0</v>
      </c>
      <c r="O17" s="93">
        <v>0</v>
      </c>
      <c r="P17" s="93">
        <v>0</v>
      </c>
      <c r="Q17" s="93">
        <v>0</v>
      </c>
      <c r="R17" s="93">
        <v>0</v>
      </c>
      <c r="S17" s="94">
        <f aca="true" t="shared" si="2" ref="S17:S26">(E17+N17)/D17*100</f>
        <v>100</v>
      </c>
    </row>
    <row r="18" spans="1:19" s="22" customFormat="1" ht="9" customHeight="1" hidden="1">
      <c r="A18" s="479"/>
      <c r="B18" s="25" t="s">
        <v>149</v>
      </c>
      <c r="C18" s="91">
        <v>2</v>
      </c>
      <c r="D18" s="91">
        <f t="shared" si="0"/>
        <v>2</v>
      </c>
      <c r="E18" s="91">
        <f t="shared" si="1"/>
        <v>2</v>
      </c>
      <c r="F18" s="93">
        <v>0</v>
      </c>
      <c r="G18" s="93">
        <v>0</v>
      </c>
      <c r="H18" s="93">
        <v>0</v>
      </c>
      <c r="I18" s="93">
        <v>0</v>
      </c>
      <c r="J18" s="93">
        <v>0</v>
      </c>
      <c r="K18" s="93">
        <v>0</v>
      </c>
      <c r="L18" s="93">
        <v>1</v>
      </c>
      <c r="M18" s="93">
        <v>1</v>
      </c>
      <c r="N18" s="93">
        <v>0</v>
      </c>
      <c r="O18" s="93">
        <v>0</v>
      </c>
      <c r="P18" s="93">
        <v>0</v>
      </c>
      <c r="Q18" s="93">
        <v>0</v>
      </c>
      <c r="R18" s="93">
        <v>0</v>
      </c>
      <c r="S18" s="94">
        <f t="shared" si="2"/>
        <v>100</v>
      </c>
    </row>
    <row r="19" spans="1:19" s="22" customFormat="1" ht="9" customHeight="1" hidden="1">
      <c r="A19" s="479"/>
      <c r="B19" s="25" t="s">
        <v>150</v>
      </c>
      <c r="C19" s="91">
        <v>1</v>
      </c>
      <c r="D19" s="91">
        <f t="shared" si="0"/>
        <v>1</v>
      </c>
      <c r="E19" s="91">
        <f t="shared" si="1"/>
        <v>1</v>
      </c>
      <c r="F19" s="93">
        <v>0</v>
      </c>
      <c r="G19" s="93">
        <v>0</v>
      </c>
      <c r="H19" s="93">
        <v>1</v>
      </c>
      <c r="I19" s="93">
        <v>0</v>
      </c>
      <c r="J19" s="93">
        <v>0</v>
      </c>
      <c r="K19" s="93">
        <v>0</v>
      </c>
      <c r="L19" s="93">
        <v>0</v>
      </c>
      <c r="M19" s="93">
        <v>0</v>
      </c>
      <c r="N19" s="93">
        <v>0</v>
      </c>
      <c r="O19" s="93">
        <v>0</v>
      </c>
      <c r="P19" s="93">
        <v>0</v>
      </c>
      <c r="Q19" s="93">
        <v>0</v>
      </c>
      <c r="R19" s="93">
        <v>0</v>
      </c>
      <c r="S19" s="94">
        <f t="shared" si="2"/>
        <v>100</v>
      </c>
    </row>
    <row r="20" spans="1:19" s="22" customFormat="1" ht="9" customHeight="1" hidden="1">
      <c r="A20" s="479"/>
      <c r="B20" s="25" t="s">
        <v>152</v>
      </c>
      <c r="C20" s="91">
        <v>3</v>
      </c>
      <c r="D20" s="91">
        <f t="shared" si="0"/>
        <v>3</v>
      </c>
      <c r="E20" s="91">
        <f t="shared" si="1"/>
        <v>3</v>
      </c>
      <c r="F20" s="93">
        <v>0</v>
      </c>
      <c r="G20" s="93">
        <v>0</v>
      </c>
      <c r="H20" s="93"/>
      <c r="I20" s="93">
        <v>1</v>
      </c>
      <c r="J20" s="93">
        <v>0</v>
      </c>
      <c r="K20" s="93">
        <v>0</v>
      </c>
      <c r="L20" s="93">
        <v>2</v>
      </c>
      <c r="M20" s="93">
        <v>0</v>
      </c>
      <c r="N20" s="93">
        <v>0</v>
      </c>
      <c r="O20" s="93">
        <v>0</v>
      </c>
      <c r="P20" s="93">
        <v>0</v>
      </c>
      <c r="Q20" s="93">
        <v>0</v>
      </c>
      <c r="R20" s="93">
        <v>0</v>
      </c>
      <c r="S20" s="94">
        <f t="shared" si="2"/>
        <v>100</v>
      </c>
    </row>
    <row r="21" spans="1:19" s="22" customFormat="1" ht="9" customHeight="1" hidden="1">
      <c r="A21" s="479"/>
      <c r="B21" s="25" t="s">
        <v>153</v>
      </c>
      <c r="C21" s="91">
        <v>1</v>
      </c>
      <c r="D21" s="91">
        <f t="shared" si="0"/>
        <v>1</v>
      </c>
      <c r="E21" s="91">
        <f t="shared" si="1"/>
        <v>1</v>
      </c>
      <c r="F21" s="93">
        <v>0</v>
      </c>
      <c r="G21" s="93">
        <v>0</v>
      </c>
      <c r="H21" s="93">
        <v>1</v>
      </c>
      <c r="I21" s="93">
        <v>0</v>
      </c>
      <c r="J21" s="93">
        <v>0</v>
      </c>
      <c r="K21" s="93">
        <v>0</v>
      </c>
      <c r="L21" s="93"/>
      <c r="M21" s="93">
        <v>0</v>
      </c>
      <c r="N21" s="93">
        <v>0</v>
      </c>
      <c r="O21" s="93">
        <v>0</v>
      </c>
      <c r="P21" s="93">
        <v>0</v>
      </c>
      <c r="Q21" s="93">
        <v>0</v>
      </c>
      <c r="R21" s="93">
        <v>0</v>
      </c>
      <c r="S21" s="94">
        <f t="shared" si="2"/>
        <v>100</v>
      </c>
    </row>
    <row r="22" spans="1:19" s="22" customFormat="1" ht="9" customHeight="1" hidden="1">
      <c r="A22" s="479"/>
      <c r="B22" s="25" t="s">
        <v>154</v>
      </c>
      <c r="C22" s="93">
        <v>12</v>
      </c>
      <c r="D22" s="91">
        <f t="shared" si="0"/>
        <v>15</v>
      </c>
      <c r="E22" s="93">
        <f t="shared" si="1"/>
        <v>15</v>
      </c>
      <c r="F22" s="93">
        <v>0</v>
      </c>
      <c r="G22" s="93">
        <v>0</v>
      </c>
      <c r="H22" s="93">
        <v>6</v>
      </c>
      <c r="I22" s="93">
        <v>3</v>
      </c>
      <c r="J22" s="93">
        <v>0</v>
      </c>
      <c r="K22" s="93">
        <v>0</v>
      </c>
      <c r="L22" s="93">
        <v>5</v>
      </c>
      <c r="M22" s="93">
        <v>1</v>
      </c>
      <c r="N22" s="93">
        <v>0</v>
      </c>
      <c r="O22" s="93">
        <v>0</v>
      </c>
      <c r="P22" s="93">
        <v>0</v>
      </c>
      <c r="Q22" s="93">
        <v>0</v>
      </c>
      <c r="R22" s="93">
        <v>0</v>
      </c>
      <c r="S22" s="172">
        <f t="shared" si="2"/>
        <v>100</v>
      </c>
    </row>
    <row r="23" spans="1:19" s="22" customFormat="1" ht="9" customHeight="1" hidden="1">
      <c r="A23" s="479"/>
      <c r="B23" s="25" t="s">
        <v>155</v>
      </c>
      <c r="C23" s="93">
        <v>11</v>
      </c>
      <c r="D23" s="91">
        <f t="shared" si="0"/>
        <v>11</v>
      </c>
      <c r="E23" s="93">
        <f t="shared" si="1"/>
        <v>11</v>
      </c>
      <c r="F23" s="93">
        <v>0</v>
      </c>
      <c r="G23" s="93">
        <v>0</v>
      </c>
      <c r="H23" s="93">
        <v>8</v>
      </c>
      <c r="I23" s="93">
        <v>0</v>
      </c>
      <c r="J23" s="93">
        <v>0</v>
      </c>
      <c r="K23" s="93">
        <v>0</v>
      </c>
      <c r="L23" s="93">
        <v>3</v>
      </c>
      <c r="M23" s="93">
        <v>0</v>
      </c>
      <c r="N23" s="93">
        <v>0</v>
      </c>
      <c r="O23" s="93">
        <v>0</v>
      </c>
      <c r="P23" s="93">
        <v>0</v>
      </c>
      <c r="Q23" s="93">
        <v>0</v>
      </c>
      <c r="R23" s="93">
        <v>0</v>
      </c>
      <c r="S23" s="172">
        <f t="shared" si="2"/>
        <v>100</v>
      </c>
    </row>
    <row r="24" spans="1:19" s="22" customFormat="1" ht="9" customHeight="1" hidden="1">
      <c r="A24" s="479"/>
      <c r="B24" s="25" t="s">
        <v>156</v>
      </c>
      <c r="C24" s="97">
        <v>14</v>
      </c>
      <c r="D24" s="91">
        <f t="shared" si="0"/>
        <v>14</v>
      </c>
      <c r="E24" s="91">
        <v>13</v>
      </c>
      <c r="F24" s="97">
        <v>0</v>
      </c>
      <c r="G24" s="97">
        <v>0</v>
      </c>
      <c r="H24" s="97">
        <v>7</v>
      </c>
      <c r="I24" s="97">
        <v>0</v>
      </c>
      <c r="J24" s="97">
        <v>0</v>
      </c>
      <c r="K24" s="97">
        <v>0</v>
      </c>
      <c r="L24" s="97">
        <v>5</v>
      </c>
      <c r="M24" s="97">
        <v>1</v>
      </c>
      <c r="N24" s="97">
        <v>0</v>
      </c>
      <c r="O24" s="97">
        <v>0</v>
      </c>
      <c r="P24" s="97">
        <v>0</v>
      </c>
      <c r="Q24" s="97">
        <v>1</v>
      </c>
      <c r="R24" s="97">
        <v>0</v>
      </c>
      <c r="S24" s="172">
        <f t="shared" si="2"/>
        <v>92.85714285714286</v>
      </c>
    </row>
    <row r="25" spans="1:19" s="22" customFormat="1" ht="9" customHeight="1" hidden="1">
      <c r="A25" s="479"/>
      <c r="B25" s="25" t="s">
        <v>157</v>
      </c>
      <c r="C25" s="97">
        <v>13</v>
      </c>
      <c r="D25" s="91">
        <v>15</v>
      </c>
      <c r="E25" s="91">
        <v>15</v>
      </c>
      <c r="F25" s="97">
        <v>0</v>
      </c>
      <c r="G25" s="97">
        <v>0</v>
      </c>
      <c r="H25" s="97">
        <v>8</v>
      </c>
      <c r="I25" s="97">
        <v>0</v>
      </c>
      <c r="J25" s="97">
        <v>0</v>
      </c>
      <c r="K25" s="97">
        <v>0</v>
      </c>
      <c r="L25" s="97">
        <v>6</v>
      </c>
      <c r="M25" s="97">
        <v>1</v>
      </c>
      <c r="N25" s="97">
        <v>0</v>
      </c>
      <c r="O25" s="97">
        <v>0</v>
      </c>
      <c r="P25" s="97">
        <v>0</v>
      </c>
      <c r="Q25" s="97">
        <v>0</v>
      </c>
      <c r="R25" s="97">
        <v>0</v>
      </c>
      <c r="S25" s="172">
        <f t="shared" si="2"/>
        <v>100</v>
      </c>
    </row>
    <row r="26" spans="1:19" s="22" customFormat="1" ht="9" customHeight="1" hidden="1">
      <c r="A26" s="479"/>
      <c r="B26" s="25" t="s">
        <v>158</v>
      </c>
      <c r="C26" s="97">
        <v>13</v>
      </c>
      <c r="D26" s="91">
        <v>13</v>
      </c>
      <c r="E26" s="91">
        <v>13</v>
      </c>
      <c r="F26" s="97">
        <v>0</v>
      </c>
      <c r="G26" s="97">
        <v>0</v>
      </c>
      <c r="H26" s="97">
        <v>6</v>
      </c>
      <c r="I26" s="97">
        <v>0</v>
      </c>
      <c r="J26" s="97">
        <v>0</v>
      </c>
      <c r="K26" s="97">
        <v>0</v>
      </c>
      <c r="L26" s="97">
        <v>6</v>
      </c>
      <c r="M26" s="97">
        <v>1</v>
      </c>
      <c r="N26" s="97">
        <v>0</v>
      </c>
      <c r="O26" s="97">
        <v>0</v>
      </c>
      <c r="P26" s="97">
        <v>0</v>
      </c>
      <c r="Q26" s="97">
        <v>0</v>
      </c>
      <c r="R26" s="97">
        <v>0</v>
      </c>
      <c r="S26" s="252">
        <f t="shared" si="2"/>
        <v>100</v>
      </c>
    </row>
    <row r="27" spans="1:20" s="22" customFormat="1" ht="13.5" customHeight="1">
      <c r="A27" s="479"/>
      <c r="B27" s="96" t="s">
        <v>303</v>
      </c>
      <c r="C27" s="97">
        <v>27</v>
      </c>
      <c r="D27" s="91">
        <f>+E27+N27+O27+P27+Q27+R27</f>
        <v>27</v>
      </c>
      <c r="E27" s="91">
        <f>SUM(H27:M27)</f>
        <v>27</v>
      </c>
      <c r="F27" s="97">
        <v>0</v>
      </c>
      <c r="G27" s="97">
        <v>0</v>
      </c>
      <c r="H27" s="97">
        <v>15</v>
      </c>
      <c r="I27" s="97">
        <v>0</v>
      </c>
      <c r="J27" s="97">
        <v>0</v>
      </c>
      <c r="K27" s="97">
        <v>0</v>
      </c>
      <c r="L27" s="97">
        <v>9</v>
      </c>
      <c r="M27" s="97">
        <v>3</v>
      </c>
      <c r="N27" s="97">
        <v>0</v>
      </c>
      <c r="O27" s="97">
        <v>0</v>
      </c>
      <c r="P27" s="97">
        <v>0</v>
      </c>
      <c r="Q27" s="97">
        <v>0</v>
      </c>
      <c r="R27" s="97">
        <v>0</v>
      </c>
      <c r="S27" s="252">
        <f>+ROUND((E27+N27)/(E27+N27+O27)*100,2)</f>
        <v>100</v>
      </c>
      <c r="T27" s="274" t="e">
        <f>+S27-#REF!</f>
        <v>#REF!</v>
      </c>
    </row>
    <row r="28" spans="1:20" s="22" customFormat="1" ht="13.5" customHeight="1">
      <c r="A28" s="479"/>
      <c r="B28" s="96" t="s">
        <v>312</v>
      </c>
      <c r="C28" s="97">
        <v>17</v>
      </c>
      <c r="D28" s="91">
        <f>+E28+N28+O28+P28+Q28+R28</f>
        <v>17</v>
      </c>
      <c r="E28" s="91">
        <f>SUM(H28:M28)</f>
        <v>17</v>
      </c>
      <c r="F28" s="97">
        <v>0</v>
      </c>
      <c r="G28" s="97">
        <v>0</v>
      </c>
      <c r="H28" s="97">
        <v>7</v>
      </c>
      <c r="I28" s="97">
        <v>0</v>
      </c>
      <c r="J28" s="97">
        <v>0</v>
      </c>
      <c r="K28" s="97">
        <v>0</v>
      </c>
      <c r="L28" s="97">
        <v>9</v>
      </c>
      <c r="M28" s="97">
        <v>1</v>
      </c>
      <c r="N28" s="97">
        <v>0</v>
      </c>
      <c r="O28" s="97">
        <v>0</v>
      </c>
      <c r="P28" s="97">
        <v>0</v>
      </c>
      <c r="Q28" s="97">
        <v>0</v>
      </c>
      <c r="R28" s="97">
        <v>0</v>
      </c>
      <c r="S28" s="252">
        <f>+ROUND((E28+N28)/(E28+N28+O28)*100,2)</f>
        <v>100</v>
      </c>
      <c r="T28" s="274">
        <f>+S28-S27</f>
        <v>0</v>
      </c>
    </row>
    <row r="29" spans="1:20" s="22" customFormat="1" ht="13.5" customHeight="1">
      <c r="A29" s="479"/>
      <c r="B29" s="96" t="s">
        <v>320</v>
      </c>
      <c r="C29" s="91">
        <v>21</v>
      </c>
      <c r="D29" s="91">
        <f>+E29+N29+O29+P29+Q29+R29</f>
        <v>23</v>
      </c>
      <c r="E29" s="91">
        <f>SUM(H29:M29)</f>
        <v>22</v>
      </c>
      <c r="F29" s="91">
        <v>0</v>
      </c>
      <c r="G29" s="91">
        <v>0</v>
      </c>
      <c r="H29" s="91">
        <v>13</v>
      </c>
      <c r="I29" s="91">
        <v>0</v>
      </c>
      <c r="J29" s="91">
        <v>0</v>
      </c>
      <c r="K29" s="91">
        <v>0</v>
      </c>
      <c r="L29" s="91">
        <v>7</v>
      </c>
      <c r="M29" s="91">
        <v>2</v>
      </c>
      <c r="N29" s="91">
        <v>0</v>
      </c>
      <c r="O29" s="91">
        <v>1</v>
      </c>
      <c r="P29" s="91">
        <v>0</v>
      </c>
      <c r="Q29" s="91">
        <v>0</v>
      </c>
      <c r="R29" s="91">
        <v>0</v>
      </c>
      <c r="S29" s="252">
        <f>+ROUND((E29+N29)/(E29+N29+O29)*100,2)</f>
        <v>95.65</v>
      </c>
      <c r="T29" s="274">
        <f>+S29-S28</f>
        <v>-4.349999999999994</v>
      </c>
    </row>
    <row r="30" spans="1:20" s="22" customFormat="1" ht="13.5" customHeight="1">
      <c r="A30" s="479"/>
      <c r="B30" s="96" t="s">
        <v>330</v>
      </c>
      <c r="C30" s="91">
        <v>26</v>
      </c>
      <c r="D30" s="91">
        <f>+E30+N30+O30+P30+Q30+R30</f>
        <v>28</v>
      </c>
      <c r="E30" s="91">
        <f>SUM(H30:M30)</f>
        <v>28</v>
      </c>
      <c r="F30" s="91">
        <v>0</v>
      </c>
      <c r="G30" s="91">
        <v>0</v>
      </c>
      <c r="H30" s="91">
        <v>14</v>
      </c>
      <c r="I30" s="91">
        <v>2</v>
      </c>
      <c r="J30" s="91">
        <v>0</v>
      </c>
      <c r="K30" s="91">
        <v>0</v>
      </c>
      <c r="L30" s="91">
        <v>8</v>
      </c>
      <c r="M30" s="91">
        <v>4</v>
      </c>
      <c r="N30" s="91">
        <v>0</v>
      </c>
      <c r="O30" s="91">
        <v>0</v>
      </c>
      <c r="P30" s="91">
        <v>0</v>
      </c>
      <c r="Q30" s="91">
        <v>0</v>
      </c>
      <c r="R30" s="91">
        <v>0</v>
      </c>
      <c r="S30" s="252">
        <f>ROUND((E30+N30)/(E30+N30+O30)*100,2)</f>
        <v>100</v>
      </c>
      <c r="T30" s="274"/>
    </row>
    <row r="31" spans="1:20" s="22" customFormat="1" ht="13.5" customHeight="1">
      <c r="A31" s="479"/>
      <c r="B31" s="96" t="s">
        <v>360</v>
      </c>
      <c r="C31" s="334">
        <v>27</v>
      </c>
      <c r="D31" s="334">
        <v>39</v>
      </c>
      <c r="E31" s="334">
        <v>30</v>
      </c>
      <c r="F31" s="334">
        <v>0</v>
      </c>
      <c r="G31" s="334">
        <v>0</v>
      </c>
      <c r="H31" s="334">
        <v>13</v>
      </c>
      <c r="I31" s="337" t="s">
        <v>143</v>
      </c>
      <c r="J31" s="337" t="s">
        <v>143</v>
      </c>
      <c r="K31" s="337" t="s">
        <v>143</v>
      </c>
      <c r="L31" s="334">
        <v>6</v>
      </c>
      <c r="M31" s="334">
        <v>11</v>
      </c>
      <c r="N31" s="334">
        <v>0</v>
      </c>
      <c r="O31" s="334">
        <v>9</v>
      </c>
      <c r="P31" s="334">
        <v>0</v>
      </c>
      <c r="Q31" s="334">
        <v>0</v>
      </c>
      <c r="R31" s="334">
        <v>0</v>
      </c>
      <c r="S31" s="336">
        <f>ROUND((E31+N31)/(E31+N31+O31)*100,2)</f>
        <v>76.92</v>
      </c>
      <c r="T31" s="274"/>
    </row>
    <row r="32" spans="1:19" s="22" customFormat="1" ht="13.5" customHeight="1">
      <c r="A32" s="479"/>
      <c r="B32" s="99" t="s">
        <v>66</v>
      </c>
      <c r="C32" s="91" t="s">
        <v>30</v>
      </c>
      <c r="D32" s="91"/>
      <c r="E32" s="91"/>
      <c r="F32" s="93" t="s">
        <v>30</v>
      </c>
      <c r="G32" s="93" t="s">
        <v>30</v>
      </c>
      <c r="H32" s="93"/>
      <c r="I32" s="93"/>
      <c r="J32" s="93"/>
      <c r="K32" s="93"/>
      <c r="L32" s="93"/>
      <c r="M32" s="93" t="s">
        <v>30</v>
      </c>
      <c r="N32" s="93" t="s">
        <v>30</v>
      </c>
      <c r="O32" s="93" t="s">
        <v>30</v>
      </c>
      <c r="P32" s="93" t="s">
        <v>30</v>
      </c>
      <c r="Q32" s="93" t="s">
        <v>30</v>
      </c>
      <c r="R32" s="93" t="s">
        <v>30</v>
      </c>
      <c r="S32" s="252"/>
    </row>
    <row r="33" spans="1:19" s="22" customFormat="1" ht="9" customHeight="1" hidden="1">
      <c r="A33" s="479"/>
      <c r="B33" s="25" t="s">
        <v>159</v>
      </c>
      <c r="C33" s="91">
        <v>0</v>
      </c>
      <c r="D33" s="91">
        <f>SUM(E33,N33:R33)</f>
        <v>0</v>
      </c>
      <c r="E33" s="91">
        <f aca="true" t="shared" si="3" ref="E33:E41">SUM(H33:M33)</f>
        <v>0</v>
      </c>
      <c r="F33" s="93"/>
      <c r="G33" s="93"/>
      <c r="H33" s="93">
        <v>0</v>
      </c>
      <c r="I33" s="93">
        <v>0</v>
      </c>
      <c r="J33" s="93">
        <v>0</v>
      </c>
      <c r="K33" s="93"/>
      <c r="L33" s="93"/>
      <c r="M33" s="93"/>
      <c r="N33" s="93"/>
      <c r="O33" s="93"/>
      <c r="P33" s="93"/>
      <c r="Q33" s="93"/>
      <c r="R33" s="93"/>
      <c r="S33" s="252"/>
    </row>
    <row r="34" spans="1:19" s="22" customFormat="1" ht="9" customHeight="1" hidden="1">
      <c r="A34" s="479"/>
      <c r="B34" s="25" t="s">
        <v>160</v>
      </c>
      <c r="C34" s="91">
        <v>9</v>
      </c>
      <c r="D34" s="91">
        <f>SUM(E34,N34:R34)</f>
        <v>9</v>
      </c>
      <c r="E34" s="91">
        <f t="shared" si="3"/>
        <v>8</v>
      </c>
      <c r="F34" s="93">
        <v>0</v>
      </c>
      <c r="G34" s="93">
        <v>0</v>
      </c>
      <c r="H34" s="93">
        <v>6</v>
      </c>
      <c r="I34" s="93"/>
      <c r="J34" s="93">
        <v>0</v>
      </c>
      <c r="K34" s="93">
        <v>0</v>
      </c>
      <c r="L34" s="93">
        <v>1</v>
      </c>
      <c r="M34" s="93">
        <v>1</v>
      </c>
      <c r="N34" s="93">
        <v>0</v>
      </c>
      <c r="O34" s="93">
        <v>1</v>
      </c>
      <c r="P34" s="93">
        <v>0</v>
      </c>
      <c r="Q34" s="93">
        <v>0</v>
      </c>
      <c r="R34" s="93">
        <v>0</v>
      </c>
      <c r="S34" s="252">
        <f>(E34+N34)/D34*100</f>
        <v>88.88888888888889</v>
      </c>
    </row>
    <row r="35" spans="1:19" s="22" customFormat="1" ht="9" customHeight="1" hidden="1">
      <c r="A35" s="479"/>
      <c r="B35" s="25" t="s">
        <v>161</v>
      </c>
      <c r="C35" s="91">
        <v>15</v>
      </c>
      <c r="D35" s="91">
        <f>SUM(E35,N35:R35)</f>
        <v>16</v>
      </c>
      <c r="E35" s="91">
        <f t="shared" si="3"/>
        <v>16</v>
      </c>
      <c r="F35" s="93">
        <v>0</v>
      </c>
      <c r="G35" s="93">
        <v>0</v>
      </c>
      <c r="H35" s="93">
        <v>10</v>
      </c>
      <c r="I35" s="93">
        <v>1</v>
      </c>
      <c r="J35" s="93">
        <v>0</v>
      </c>
      <c r="K35" s="93">
        <v>0</v>
      </c>
      <c r="L35" s="93">
        <v>5</v>
      </c>
      <c r="M35" s="93">
        <v>0</v>
      </c>
      <c r="N35" s="93">
        <v>0</v>
      </c>
      <c r="O35" s="93">
        <v>0</v>
      </c>
      <c r="P35" s="93">
        <v>0</v>
      </c>
      <c r="Q35" s="93">
        <v>0</v>
      </c>
      <c r="R35" s="93">
        <v>0</v>
      </c>
      <c r="S35" s="252">
        <f>(E35+N35)/D35*100</f>
        <v>100</v>
      </c>
    </row>
    <row r="36" spans="1:19" s="22" customFormat="1" ht="9" customHeight="1" hidden="1">
      <c r="A36" s="479"/>
      <c r="B36" s="25" t="s">
        <v>162</v>
      </c>
      <c r="C36" s="91">
        <v>40</v>
      </c>
      <c r="D36" s="91">
        <f>SUM(E36,N36:R36)</f>
        <v>39</v>
      </c>
      <c r="E36" s="91">
        <f t="shared" si="3"/>
        <v>39</v>
      </c>
      <c r="F36" s="93">
        <v>0</v>
      </c>
      <c r="G36" s="93">
        <v>0</v>
      </c>
      <c r="H36" s="93">
        <v>35</v>
      </c>
      <c r="I36" s="93">
        <v>0</v>
      </c>
      <c r="J36" s="93">
        <v>0</v>
      </c>
      <c r="K36" s="93">
        <v>0</v>
      </c>
      <c r="L36" s="93">
        <v>4</v>
      </c>
      <c r="M36" s="93">
        <v>0</v>
      </c>
      <c r="N36" s="93">
        <v>0</v>
      </c>
      <c r="O36" s="93">
        <v>0</v>
      </c>
      <c r="P36" s="93">
        <v>0</v>
      </c>
      <c r="Q36" s="93">
        <v>0</v>
      </c>
      <c r="R36" s="93">
        <v>0</v>
      </c>
      <c r="S36" s="252">
        <f>(E36+N36)/D36*100</f>
        <v>100</v>
      </c>
    </row>
    <row r="37" spans="1:19" s="22" customFormat="1" ht="9" customHeight="1" hidden="1">
      <c r="A37" s="479"/>
      <c r="B37" s="25" t="s">
        <v>163</v>
      </c>
      <c r="C37" s="91">
        <v>74</v>
      </c>
      <c r="D37" s="91">
        <f>SUM(E37,N37:R37)</f>
        <v>84</v>
      </c>
      <c r="E37" s="91">
        <f t="shared" si="3"/>
        <v>75</v>
      </c>
      <c r="F37" s="93">
        <v>0</v>
      </c>
      <c r="G37" s="93">
        <v>0</v>
      </c>
      <c r="H37" s="93">
        <v>42</v>
      </c>
      <c r="I37" s="93">
        <v>1</v>
      </c>
      <c r="J37" s="93">
        <v>0</v>
      </c>
      <c r="K37" s="93">
        <v>0</v>
      </c>
      <c r="L37" s="93">
        <v>22</v>
      </c>
      <c r="M37" s="93">
        <v>10</v>
      </c>
      <c r="N37" s="93">
        <v>0</v>
      </c>
      <c r="O37" s="93">
        <v>9</v>
      </c>
      <c r="P37" s="93">
        <v>0</v>
      </c>
      <c r="Q37" s="93">
        <v>0</v>
      </c>
      <c r="R37" s="93">
        <v>0</v>
      </c>
      <c r="S37" s="252">
        <f>(E37+N37)/D37*100</f>
        <v>89.28571428571429</v>
      </c>
    </row>
    <row r="38" spans="1:20" s="22" customFormat="1" ht="13.5" customHeight="1">
      <c r="A38" s="479"/>
      <c r="B38" s="96" t="s">
        <v>303</v>
      </c>
      <c r="C38" s="97">
        <v>41</v>
      </c>
      <c r="D38" s="91">
        <f>+E38+N38+O38+P38+Q38+R38</f>
        <v>51</v>
      </c>
      <c r="E38" s="91">
        <f t="shared" si="3"/>
        <v>47</v>
      </c>
      <c r="F38" s="97">
        <v>0</v>
      </c>
      <c r="G38" s="97">
        <v>0</v>
      </c>
      <c r="H38" s="97">
        <v>25</v>
      </c>
      <c r="I38" s="97">
        <v>3</v>
      </c>
      <c r="J38" s="97">
        <v>0</v>
      </c>
      <c r="K38" s="97">
        <v>0</v>
      </c>
      <c r="L38" s="97">
        <v>1</v>
      </c>
      <c r="M38" s="97">
        <v>18</v>
      </c>
      <c r="N38" s="97">
        <v>0</v>
      </c>
      <c r="O38" s="97">
        <v>4</v>
      </c>
      <c r="P38" s="97">
        <v>0</v>
      </c>
      <c r="Q38" s="97">
        <v>0</v>
      </c>
      <c r="R38" s="97">
        <v>0</v>
      </c>
      <c r="S38" s="252">
        <f>+ROUND((E38+N38)/(E38+N38+O38)*100,2)</f>
        <v>92.16</v>
      </c>
      <c r="T38" s="274">
        <f>+S38-S37</f>
        <v>2.874285714285705</v>
      </c>
    </row>
    <row r="39" spans="1:20" s="22" customFormat="1" ht="13.5" customHeight="1">
      <c r="A39" s="479"/>
      <c r="B39" s="96" t="s">
        <v>312</v>
      </c>
      <c r="C39" s="97">
        <v>45</v>
      </c>
      <c r="D39" s="91">
        <f>+E39+N39+O39+P39+Q39+R39</f>
        <v>59</v>
      </c>
      <c r="E39" s="91">
        <f t="shared" si="3"/>
        <v>58</v>
      </c>
      <c r="F39" s="97">
        <v>0</v>
      </c>
      <c r="G39" s="97">
        <v>0</v>
      </c>
      <c r="H39" s="97">
        <v>23</v>
      </c>
      <c r="I39" s="97">
        <v>4</v>
      </c>
      <c r="J39" s="97">
        <v>2</v>
      </c>
      <c r="K39" s="97">
        <v>0</v>
      </c>
      <c r="L39" s="97">
        <v>5</v>
      </c>
      <c r="M39" s="97">
        <v>24</v>
      </c>
      <c r="N39" s="97">
        <v>0</v>
      </c>
      <c r="O39" s="97">
        <v>0</v>
      </c>
      <c r="P39" s="97">
        <v>0</v>
      </c>
      <c r="Q39" s="97">
        <v>1</v>
      </c>
      <c r="R39" s="97">
        <v>0</v>
      </c>
      <c r="S39" s="252">
        <f>+ROUND((E39+N39)/(E39+N39+O39)*100,2)</f>
        <v>100</v>
      </c>
      <c r="T39" s="274">
        <f>+S39-S38</f>
        <v>7.840000000000003</v>
      </c>
    </row>
    <row r="40" spans="1:20" s="22" customFormat="1" ht="13.5" customHeight="1">
      <c r="A40" s="479"/>
      <c r="B40" s="96" t="s">
        <v>320</v>
      </c>
      <c r="C40" s="91">
        <v>52</v>
      </c>
      <c r="D40" s="91">
        <f>+E40+N40+O40+P40+Q40+R40</f>
        <v>64</v>
      </c>
      <c r="E40" s="91">
        <f t="shared" si="3"/>
        <v>62</v>
      </c>
      <c r="F40" s="91">
        <v>0</v>
      </c>
      <c r="G40" s="91">
        <v>0</v>
      </c>
      <c r="H40" s="91">
        <v>16</v>
      </c>
      <c r="I40" s="91">
        <v>17</v>
      </c>
      <c r="J40" s="91">
        <v>1</v>
      </c>
      <c r="K40" s="91">
        <v>0</v>
      </c>
      <c r="L40" s="91">
        <v>10</v>
      </c>
      <c r="M40" s="91">
        <v>18</v>
      </c>
      <c r="N40" s="91">
        <v>0</v>
      </c>
      <c r="O40" s="91">
        <v>2</v>
      </c>
      <c r="P40" s="91">
        <v>0</v>
      </c>
      <c r="Q40" s="91">
        <v>0</v>
      </c>
      <c r="R40" s="91">
        <v>0</v>
      </c>
      <c r="S40" s="252">
        <f>+ROUND((E40+N40)/(E40+N40+O40)*100,2)</f>
        <v>96.88</v>
      </c>
      <c r="T40" s="274">
        <f>+S40-S39</f>
        <v>-3.1200000000000045</v>
      </c>
    </row>
    <row r="41" spans="1:20" s="22" customFormat="1" ht="13.5" customHeight="1">
      <c r="A41" s="479"/>
      <c r="B41" s="96" t="s">
        <v>330</v>
      </c>
      <c r="C41" s="91">
        <v>52</v>
      </c>
      <c r="D41" s="91">
        <f>+E41+N41+O41+P41+Q41+R41</f>
        <v>62</v>
      </c>
      <c r="E41" s="91">
        <f t="shared" si="3"/>
        <v>57</v>
      </c>
      <c r="F41" s="91">
        <v>0</v>
      </c>
      <c r="G41" s="91">
        <v>0</v>
      </c>
      <c r="H41" s="91">
        <v>18</v>
      </c>
      <c r="I41" s="91">
        <v>10</v>
      </c>
      <c r="J41" s="91">
        <v>1</v>
      </c>
      <c r="K41" s="91">
        <v>0</v>
      </c>
      <c r="L41" s="91">
        <v>6</v>
      </c>
      <c r="M41" s="91">
        <v>22</v>
      </c>
      <c r="N41" s="91">
        <v>0</v>
      </c>
      <c r="O41" s="91">
        <v>4</v>
      </c>
      <c r="P41" s="91">
        <v>0</v>
      </c>
      <c r="Q41" s="91">
        <v>0</v>
      </c>
      <c r="R41" s="91">
        <v>1</v>
      </c>
      <c r="S41" s="252">
        <f>+ROUND((E41+N41)/(E41+N41+O41)*100,2)</f>
        <v>93.44</v>
      </c>
      <c r="T41" s="274">
        <f>+S41-S40</f>
        <v>-3.4399999999999977</v>
      </c>
    </row>
    <row r="42" spans="1:20" s="22" customFormat="1" ht="13.5" customHeight="1">
      <c r="A42" s="479"/>
      <c r="B42" s="96" t="s">
        <v>360</v>
      </c>
      <c r="C42" s="334">
        <v>40</v>
      </c>
      <c r="D42" s="334">
        <v>52</v>
      </c>
      <c r="E42" s="334">
        <v>47</v>
      </c>
      <c r="F42" s="334">
        <v>0</v>
      </c>
      <c r="G42" s="334">
        <v>0</v>
      </c>
      <c r="H42" s="334">
        <v>17</v>
      </c>
      <c r="I42" s="334">
        <v>7</v>
      </c>
      <c r="J42" s="334">
        <v>1</v>
      </c>
      <c r="K42" s="334">
        <v>1</v>
      </c>
      <c r="L42" s="334">
        <v>4</v>
      </c>
      <c r="M42" s="334">
        <v>17</v>
      </c>
      <c r="N42" s="334">
        <v>0</v>
      </c>
      <c r="O42" s="334">
        <v>4</v>
      </c>
      <c r="P42" s="334">
        <v>0</v>
      </c>
      <c r="Q42" s="334">
        <v>1</v>
      </c>
      <c r="R42" s="334">
        <v>0</v>
      </c>
      <c r="S42" s="336">
        <f>+ROUND((E42+N42)/(E42+N42+O42)*100,2)</f>
        <v>92.16</v>
      </c>
      <c r="T42" s="274">
        <f>+S42-S41</f>
        <v>-1.2800000000000011</v>
      </c>
    </row>
    <row r="43" spans="1:19" s="22" customFormat="1" ht="13.5" customHeight="1">
      <c r="A43" s="479"/>
      <c r="B43" s="100" t="s">
        <v>67</v>
      </c>
      <c r="C43" s="93"/>
      <c r="D43" s="91"/>
      <c r="E43" s="91"/>
      <c r="F43" s="93"/>
      <c r="G43" s="93"/>
      <c r="H43" s="93"/>
      <c r="I43" s="93"/>
      <c r="J43" s="93"/>
      <c r="K43" s="93"/>
      <c r="L43" s="93"/>
      <c r="M43" s="93"/>
      <c r="N43" s="93"/>
      <c r="O43" s="93"/>
      <c r="P43" s="93"/>
      <c r="Q43" s="93"/>
      <c r="R43" s="93"/>
      <c r="S43" s="252"/>
    </row>
    <row r="44" spans="1:19" s="22" customFormat="1" ht="9" customHeight="1" hidden="1">
      <c r="A44" s="479"/>
      <c r="B44" s="25" t="s">
        <v>164</v>
      </c>
      <c r="C44" s="93">
        <v>156</v>
      </c>
      <c r="D44" s="91">
        <f>SUM(E44,N44:R44)</f>
        <v>225</v>
      </c>
      <c r="E44" s="91">
        <f>SUM(H44:M44)</f>
        <v>190</v>
      </c>
      <c r="F44" s="93">
        <v>0</v>
      </c>
      <c r="G44" s="93">
        <v>0</v>
      </c>
      <c r="H44" s="93">
        <v>3</v>
      </c>
      <c r="I44" s="93">
        <v>184</v>
      </c>
      <c r="J44" s="93">
        <v>2</v>
      </c>
      <c r="K44" s="93">
        <v>1</v>
      </c>
      <c r="L44" s="93">
        <v>0</v>
      </c>
      <c r="M44" s="93">
        <v>0</v>
      </c>
      <c r="N44" s="93">
        <v>0</v>
      </c>
      <c r="O44" s="93">
        <v>34</v>
      </c>
      <c r="P44" s="93">
        <v>0</v>
      </c>
      <c r="Q44" s="93">
        <v>1</v>
      </c>
      <c r="R44" s="93">
        <v>0</v>
      </c>
      <c r="S44" s="252">
        <f>(E44+N44)/D44*100</f>
        <v>84.44444444444444</v>
      </c>
    </row>
    <row r="45" spans="1:19" s="22" customFormat="1" ht="9" customHeight="1" hidden="1">
      <c r="A45" s="479"/>
      <c r="B45" s="25" t="s">
        <v>170</v>
      </c>
      <c r="C45" s="93">
        <v>403</v>
      </c>
      <c r="D45" s="91">
        <f>SUM(E45,N45:R45)</f>
        <v>669</v>
      </c>
      <c r="E45" s="91">
        <f>SUM(H45:M45)</f>
        <v>501</v>
      </c>
      <c r="F45" s="93">
        <v>0</v>
      </c>
      <c r="G45" s="93">
        <v>0</v>
      </c>
      <c r="H45" s="93">
        <v>11</v>
      </c>
      <c r="I45" s="93">
        <v>465</v>
      </c>
      <c r="J45" s="93">
        <v>21</v>
      </c>
      <c r="K45" s="93">
        <v>1</v>
      </c>
      <c r="L45" s="93">
        <v>0</v>
      </c>
      <c r="M45" s="93">
        <v>3</v>
      </c>
      <c r="N45" s="93">
        <v>0</v>
      </c>
      <c r="O45" s="93">
        <v>156</v>
      </c>
      <c r="P45" s="93">
        <v>3</v>
      </c>
      <c r="Q45" s="93">
        <v>9</v>
      </c>
      <c r="R45" s="93">
        <v>0</v>
      </c>
      <c r="S45" s="252">
        <f>(E45+N45)/D45*100</f>
        <v>74.88789237668162</v>
      </c>
    </row>
    <row r="46" spans="1:19" s="22" customFormat="1" ht="9" customHeight="1" hidden="1">
      <c r="A46" s="479"/>
      <c r="B46" s="25" t="s">
        <v>156</v>
      </c>
      <c r="C46" s="97">
        <v>494</v>
      </c>
      <c r="D46" s="91">
        <f>SUM(E46,N46:R46)</f>
        <v>825</v>
      </c>
      <c r="E46" s="91">
        <v>592</v>
      </c>
      <c r="F46" s="97">
        <v>0</v>
      </c>
      <c r="G46" s="97">
        <v>0</v>
      </c>
      <c r="H46" s="97">
        <v>10</v>
      </c>
      <c r="I46" s="97">
        <v>563</v>
      </c>
      <c r="J46" s="97">
        <v>13</v>
      </c>
      <c r="K46" s="97">
        <v>2</v>
      </c>
      <c r="L46" s="97">
        <v>0</v>
      </c>
      <c r="M46" s="97">
        <v>4</v>
      </c>
      <c r="N46" s="97">
        <v>0</v>
      </c>
      <c r="O46" s="97">
        <v>210</v>
      </c>
      <c r="P46" s="97">
        <v>9</v>
      </c>
      <c r="Q46" s="97">
        <v>9</v>
      </c>
      <c r="R46" s="97">
        <v>5</v>
      </c>
      <c r="S46" s="252">
        <f>(E46+N46)/D46*100</f>
        <v>71.75757575757575</v>
      </c>
    </row>
    <row r="47" spans="1:19" s="22" customFormat="1" ht="9" customHeight="1" hidden="1">
      <c r="A47" s="479"/>
      <c r="B47" s="25" t="s">
        <v>157</v>
      </c>
      <c r="C47" s="97">
        <v>529</v>
      </c>
      <c r="D47" s="91">
        <v>1006</v>
      </c>
      <c r="E47" s="91">
        <v>698</v>
      </c>
      <c r="F47" s="97">
        <v>0</v>
      </c>
      <c r="G47" s="97">
        <v>0</v>
      </c>
      <c r="H47" s="97">
        <v>20</v>
      </c>
      <c r="I47" s="97">
        <v>0</v>
      </c>
      <c r="J47" s="97">
        <v>20</v>
      </c>
      <c r="K47" s="97">
        <v>5</v>
      </c>
      <c r="L47" s="97">
        <v>1</v>
      </c>
      <c r="M47" s="97">
        <v>2</v>
      </c>
      <c r="N47" s="97">
        <v>0</v>
      </c>
      <c r="O47" s="97">
        <v>268</v>
      </c>
      <c r="P47" s="97">
        <v>21</v>
      </c>
      <c r="Q47" s="97">
        <v>18</v>
      </c>
      <c r="R47" s="97">
        <v>1</v>
      </c>
      <c r="S47" s="252">
        <f>(E47+N47)/D47*100</f>
        <v>69.38369781312127</v>
      </c>
    </row>
    <row r="48" spans="1:19" s="22" customFormat="1" ht="9" customHeight="1" hidden="1">
      <c r="A48" s="479"/>
      <c r="B48" s="25" t="s">
        <v>158</v>
      </c>
      <c r="C48" s="97">
        <v>371</v>
      </c>
      <c r="D48" s="91">
        <v>661</v>
      </c>
      <c r="E48" s="91">
        <v>469</v>
      </c>
      <c r="F48" s="97">
        <v>0</v>
      </c>
      <c r="G48" s="97">
        <v>0</v>
      </c>
      <c r="H48" s="97">
        <v>27</v>
      </c>
      <c r="I48" s="97">
        <v>421</v>
      </c>
      <c r="J48" s="97">
        <v>17</v>
      </c>
      <c r="K48" s="97">
        <v>4</v>
      </c>
      <c r="L48" s="97">
        <v>0</v>
      </c>
      <c r="M48" s="97">
        <v>0</v>
      </c>
      <c r="N48" s="97">
        <v>0</v>
      </c>
      <c r="O48" s="97">
        <v>169</v>
      </c>
      <c r="P48" s="97">
        <v>3</v>
      </c>
      <c r="Q48" s="97">
        <v>20</v>
      </c>
      <c r="R48" s="97">
        <v>0</v>
      </c>
      <c r="S48" s="252">
        <f>(E48+N48)/D48*100</f>
        <v>70.95310136157337</v>
      </c>
    </row>
    <row r="49" spans="1:19" s="22" customFormat="1" ht="9" customHeight="1" hidden="1">
      <c r="A49" s="479"/>
      <c r="B49" s="210" t="s">
        <v>165</v>
      </c>
      <c r="C49" s="169">
        <v>266</v>
      </c>
      <c r="D49" s="91">
        <v>401</v>
      </c>
      <c r="E49" s="91">
        <v>321</v>
      </c>
      <c r="F49" s="97">
        <v>0</v>
      </c>
      <c r="G49" s="97">
        <v>0</v>
      </c>
      <c r="H49" s="97">
        <v>12</v>
      </c>
      <c r="I49" s="97">
        <v>273</v>
      </c>
      <c r="J49" s="97">
        <v>20</v>
      </c>
      <c r="K49" s="97">
        <v>2</v>
      </c>
      <c r="L49" s="97">
        <v>0</v>
      </c>
      <c r="M49" s="97">
        <v>14</v>
      </c>
      <c r="N49" s="97">
        <v>0</v>
      </c>
      <c r="O49" s="97">
        <v>67</v>
      </c>
      <c r="P49" s="97">
        <v>5</v>
      </c>
      <c r="Q49" s="97">
        <v>8</v>
      </c>
      <c r="R49" s="97">
        <v>0</v>
      </c>
      <c r="S49" s="252">
        <f aca="true" t="shared" si="4" ref="S49:S55">+ROUND((E49+N49)/D49*100,2)</f>
        <v>80.05</v>
      </c>
    </row>
    <row r="50" spans="1:19" s="22" customFormat="1" ht="9" customHeight="1" hidden="1">
      <c r="A50" s="479"/>
      <c r="B50" s="222" t="s">
        <v>191</v>
      </c>
      <c r="C50" s="97">
        <v>289</v>
      </c>
      <c r="D50" s="91">
        <f aca="true" t="shared" si="5" ref="D50:D56">+E50+N50+O50+P50+Q50+R50</f>
        <v>474</v>
      </c>
      <c r="E50" s="91">
        <f aca="true" t="shared" si="6" ref="E50:E56">SUM(H50:M50)</f>
        <v>356</v>
      </c>
      <c r="F50" s="97">
        <v>0</v>
      </c>
      <c r="G50" s="97">
        <v>0</v>
      </c>
      <c r="H50" s="97">
        <v>16</v>
      </c>
      <c r="I50" s="97">
        <f>7+288</f>
        <v>295</v>
      </c>
      <c r="J50" s="97">
        <v>17</v>
      </c>
      <c r="K50" s="97">
        <v>4</v>
      </c>
      <c r="L50" s="97">
        <v>1</v>
      </c>
      <c r="M50" s="97">
        <v>23</v>
      </c>
      <c r="N50" s="97">
        <v>0</v>
      </c>
      <c r="O50" s="97">
        <v>104</v>
      </c>
      <c r="P50" s="97">
        <v>5</v>
      </c>
      <c r="Q50" s="97">
        <v>9</v>
      </c>
      <c r="R50" s="97">
        <v>0</v>
      </c>
      <c r="S50" s="252">
        <f t="shared" si="4"/>
        <v>75.11</v>
      </c>
    </row>
    <row r="51" spans="1:19" s="22" customFormat="1" ht="9" customHeight="1" hidden="1">
      <c r="A51" s="479"/>
      <c r="B51" s="96" t="s">
        <v>202</v>
      </c>
      <c r="C51" s="97">
        <v>409</v>
      </c>
      <c r="D51" s="91">
        <f t="shared" si="5"/>
        <v>609</v>
      </c>
      <c r="E51" s="91">
        <f t="shared" si="6"/>
        <v>505</v>
      </c>
      <c r="F51" s="97">
        <v>0</v>
      </c>
      <c r="G51" s="97">
        <v>0</v>
      </c>
      <c r="H51" s="97">
        <v>62</v>
      </c>
      <c r="I51" s="97">
        <f>63+327</f>
        <v>390</v>
      </c>
      <c r="J51" s="97">
        <v>12</v>
      </c>
      <c r="K51" s="97">
        <v>8</v>
      </c>
      <c r="L51" s="97">
        <v>0</v>
      </c>
      <c r="M51" s="97">
        <v>33</v>
      </c>
      <c r="N51" s="97">
        <v>0</v>
      </c>
      <c r="O51" s="97">
        <v>66</v>
      </c>
      <c r="P51" s="97">
        <v>1</v>
      </c>
      <c r="Q51" s="97">
        <v>14</v>
      </c>
      <c r="R51" s="97">
        <v>23</v>
      </c>
      <c r="S51" s="252">
        <f t="shared" si="4"/>
        <v>82.92</v>
      </c>
    </row>
    <row r="52" spans="1:19" s="22" customFormat="1" ht="9" customHeight="1" hidden="1">
      <c r="A52" s="479"/>
      <c r="B52" s="222" t="s">
        <v>208</v>
      </c>
      <c r="C52" s="97">
        <v>387</v>
      </c>
      <c r="D52" s="91">
        <f t="shared" si="5"/>
        <v>658</v>
      </c>
      <c r="E52" s="91">
        <f t="shared" si="6"/>
        <v>522</v>
      </c>
      <c r="F52" s="97">
        <v>0</v>
      </c>
      <c r="G52" s="97">
        <v>0</v>
      </c>
      <c r="H52" s="97">
        <v>145</v>
      </c>
      <c r="I52" s="97">
        <v>334</v>
      </c>
      <c r="J52" s="97">
        <v>14</v>
      </c>
      <c r="K52" s="97">
        <v>10</v>
      </c>
      <c r="L52" s="97">
        <v>0</v>
      </c>
      <c r="M52" s="97">
        <v>19</v>
      </c>
      <c r="N52" s="97">
        <v>0</v>
      </c>
      <c r="O52" s="97">
        <v>125</v>
      </c>
      <c r="P52" s="97">
        <v>1</v>
      </c>
      <c r="Q52" s="97">
        <v>5</v>
      </c>
      <c r="R52" s="97">
        <v>5</v>
      </c>
      <c r="S52" s="252">
        <f t="shared" si="4"/>
        <v>79.33</v>
      </c>
    </row>
    <row r="53" spans="1:19" s="22" customFormat="1" ht="9" customHeight="1" hidden="1">
      <c r="A53" s="479"/>
      <c r="B53" s="96" t="s">
        <v>236</v>
      </c>
      <c r="C53" s="97">
        <v>341</v>
      </c>
      <c r="D53" s="91">
        <f t="shared" si="5"/>
        <v>562</v>
      </c>
      <c r="E53" s="91">
        <f t="shared" si="6"/>
        <v>415</v>
      </c>
      <c r="F53" s="97">
        <v>0</v>
      </c>
      <c r="G53" s="97">
        <v>0</v>
      </c>
      <c r="H53" s="97">
        <v>79</v>
      </c>
      <c r="I53" s="97">
        <v>299</v>
      </c>
      <c r="J53" s="97">
        <v>11</v>
      </c>
      <c r="K53" s="97">
        <v>1</v>
      </c>
      <c r="L53" s="97">
        <v>1</v>
      </c>
      <c r="M53" s="97">
        <v>24</v>
      </c>
      <c r="N53" s="97">
        <v>0</v>
      </c>
      <c r="O53" s="97">
        <v>132</v>
      </c>
      <c r="P53" s="97">
        <v>2</v>
      </c>
      <c r="Q53" s="97">
        <v>6</v>
      </c>
      <c r="R53" s="97">
        <v>7</v>
      </c>
      <c r="S53" s="252">
        <f t="shared" si="4"/>
        <v>73.84</v>
      </c>
    </row>
    <row r="54" spans="1:19" s="22" customFormat="1" ht="9" customHeight="1" hidden="1">
      <c r="A54" s="479"/>
      <c r="B54" s="222" t="s">
        <v>241</v>
      </c>
      <c r="C54" s="97">
        <v>311</v>
      </c>
      <c r="D54" s="91">
        <f t="shared" si="5"/>
        <v>480</v>
      </c>
      <c r="E54" s="91">
        <f t="shared" si="6"/>
        <v>390</v>
      </c>
      <c r="F54" s="97">
        <v>0</v>
      </c>
      <c r="G54" s="97">
        <v>0</v>
      </c>
      <c r="H54" s="97">
        <v>62</v>
      </c>
      <c r="I54" s="97">
        <f>76+215</f>
        <v>291</v>
      </c>
      <c r="J54" s="97">
        <v>11</v>
      </c>
      <c r="K54" s="97">
        <v>8</v>
      </c>
      <c r="L54" s="97">
        <v>1</v>
      </c>
      <c r="M54" s="97">
        <v>17</v>
      </c>
      <c r="N54" s="97">
        <v>0</v>
      </c>
      <c r="O54" s="97">
        <v>82</v>
      </c>
      <c r="P54" s="97">
        <v>4</v>
      </c>
      <c r="Q54" s="97">
        <v>4</v>
      </c>
      <c r="R54" s="97">
        <v>0</v>
      </c>
      <c r="S54" s="252">
        <f t="shared" si="4"/>
        <v>81.25</v>
      </c>
    </row>
    <row r="55" spans="1:19" s="22" customFormat="1" ht="13.5" customHeight="1" hidden="1">
      <c r="A55" s="479"/>
      <c r="B55" s="96" t="s">
        <v>248</v>
      </c>
      <c r="C55" s="97">
        <v>279</v>
      </c>
      <c r="D55" s="91">
        <f t="shared" si="5"/>
        <v>418</v>
      </c>
      <c r="E55" s="91">
        <f t="shared" si="6"/>
        <v>350</v>
      </c>
      <c r="F55" s="97">
        <v>0</v>
      </c>
      <c r="G55" s="97">
        <v>0</v>
      </c>
      <c r="H55" s="97">
        <v>54</v>
      </c>
      <c r="I55" s="97">
        <f>33+238</f>
        <v>271</v>
      </c>
      <c r="J55" s="97">
        <v>7</v>
      </c>
      <c r="K55" s="97">
        <v>2</v>
      </c>
      <c r="L55" s="97">
        <v>1</v>
      </c>
      <c r="M55" s="97">
        <v>15</v>
      </c>
      <c r="N55" s="97">
        <v>0</v>
      </c>
      <c r="O55" s="97">
        <v>63</v>
      </c>
      <c r="P55" s="97">
        <v>0</v>
      </c>
      <c r="Q55" s="97">
        <v>5</v>
      </c>
      <c r="R55" s="97">
        <v>0</v>
      </c>
      <c r="S55" s="252">
        <f t="shared" si="4"/>
        <v>83.73</v>
      </c>
    </row>
    <row r="56" spans="1:19" s="22" customFormat="1" ht="13.5" customHeight="1" hidden="1">
      <c r="A56" s="479"/>
      <c r="B56" s="96" t="s">
        <v>256</v>
      </c>
      <c r="C56" s="97">
        <v>286</v>
      </c>
      <c r="D56" s="91">
        <f t="shared" si="5"/>
        <v>417</v>
      </c>
      <c r="E56" s="91">
        <f t="shared" si="6"/>
        <v>342</v>
      </c>
      <c r="F56" s="97">
        <v>0</v>
      </c>
      <c r="G56" s="97">
        <v>0</v>
      </c>
      <c r="H56" s="97">
        <v>47</v>
      </c>
      <c r="I56" s="97">
        <v>266</v>
      </c>
      <c r="J56" s="97">
        <v>12</v>
      </c>
      <c r="K56" s="97">
        <v>1</v>
      </c>
      <c r="L56" s="97">
        <v>0</v>
      </c>
      <c r="M56" s="97">
        <v>16</v>
      </c>
      <c r="N56" s="97">
        <v>0</v>
      </c>
      <c r="O56" s="97">
        <v>68</v>
      </c>
      <c r="P56" s="97">
        <v>1</v>
      </c>
      <c r="Q56" s="97">
        <v>3</v>
      </c>
      <c r="R56" s="97">
        <v>3</v>
      </c>
      <c r="S56" s="252">
        <f aca="true" t="shared" si="7" ref="S56:S64">+ROUND((E56+N56)/(E56+N56+O56)*100,2)</f>
        <v>83.41</v>
      </c>
    </row>
    <row r="57" spans="1:19" s="22" customFormat="1" ht="13.5" customHeight="1" hidden="1">
      <c r="A57" s="479"/>
      <c r="B57" s="96" t="s">
        <v>265</v>
      </c>
      <c r="C57" s="97">
        <v>212</v>
      </c>
      <c r="D57" s="91">
        <f aca="true" t="shared" si="8" ref="D57:D62">+E57+N57+O57+P57+Q57+R57</f>
        <v>332</v>
      </c>
      <c r="E57" s="91">
        <f aca="true" t="shared" si="9" ref="E57:E62">SUM(H57:M57)</f>
        <v>273</v>
      </c>
      <c r="F57" s="97">
        <v>0</v>
      </c>
      <c r="G57" s="97">
        <v>0</v>
      </c>
      <c r="H57" s="97">
        <v>26</v>
      </c>
      <c r="I57" s="97">
        <f>17+199</f>
        <v>216</v>
      </c>
      <c r="J57" s="97">
        <v>7</v>
      </c>
      <c r="K57" s="97">
        <v>2</v>
      </c>
      <c r="L57" s="97">
        <v>5</v>
      </c>
      <c r="M57" s="97">
        <v>17</v>
      </c>
      <c r="N57" s="97">
        <v>0</v>
      </c>
      <c r="O57" s="97">
        <v>49</v>
      </c>
      <c r="P57" s="97">
        <v>2</v>
      </c>
      <c r="Q57" s="97">
        <v>8</v>
      </c>
      <c r="R57" s="97">
        <v>0</v>
      </c>
      <c r="S57" s="252">
        <f t="shared" si="7"/>
        <v>84.78</v>
      </c>
    </row>
    <row r="58" spans="1:19" s="22" customFormat="1" ht="13.5" customHeight="1" hidden="1">
      <c r="A58" s="479"/>
      <c r="B58" s="96" t="s">
        <v>275</v>
      </c>
      <c r="C58" s="97">
        <v>220</v>
      </c>
      <c r="D58" s="91">
        <f t="shared" si="8"/>
        <v>448</v>
      </c>
      <c r="E58" s="91">
        <f t="shared" si="9"/>
        <v>368</v>
      </c>
      <c r="F58" s="97">
        <v>0</v>
      </c>
      <c r="G58" s="97">
        <v>0</v>
      </c>
      <c r="H58" s="97">
        <v>56</v>
      </c>
      <c r="I58" s="97">
        <v>271</v>
      </c>
      <c r="J58" s="97">
        <v>11</v>
      </c>
      <c r="K58" s="97">
        <v>4</v>
      </c>
      <c r="L58" s="97">
        <v>3</v>
      </c>
      <c r="M58" s="97">
        <v>23</v>
      </c>
      <c r="N58" s="97">
        <v>0</v>
      </c>
      <c r="O58" s="97">
        <v>61</v>
      </c>
      <c r="P58" s="97">
        <v>1</v>
      </c>
      <c r="Q58" s="97">
        <v>18</v>
      </c>
      <c r="R58" s="97">
        <v>0</v>
      </c>
      <c r="S58" s="252">
        <f t="shared" si="7"/>
        <v>85.78</v>
      </c>
    </row>
    <row r="59" spans="1:20" s="22" customFormat="1" ht="13.5" customHeight="1">
      <c r="A59" s="479"/>
      <c r="B59" s="96" t="s">
        <v>303</v>
      </c>
      <c r="C59" s="97"/>
      <c r="D59" s="91"/>
      <c r="E59" s="91"/>
      <c r="F59" s="97"/>
      <c r="G59" s="97"/>
      <c r="H59" s="97"/>
      <c r="I59" s="97"/>
      <c r="J59" s="97"/>
      <c r="K59" s="97"/>
      <c r="L59" s="97"/>
      <c r="M59" s="97"/>
      <c r="N59" s="97"/>
      <c r="O59" s="97"/>
      <c r="P59" s="97"/>
      <c r="Q59" s="97"/>
      <c r="R59" s="97"/>
      <c r="S59" s="252"/>
      <c r="T59" s="274"/>
    </row>
    <row r="60" spans="1:20" s="22" customFormat="1" ht="13.5" customHeight="1">
      <c r="A60" s="479"/>
      <c r="B60" s="96" t="s">
        <v>303</v>
      </c>
      <c r="C60" s="97">
        <v>260</v>
      </c>
      <c r="D60" s="91">
        <f t="shared" si="8"/>
        <v>440</v>
      </c>
      <c r="E60" s="91">
        <f t="shared" si="9"/>
        <v>357</v>
      </c>
      <c r="F60" s="97">
        <v>0</v>
      </c>
      <c r="G60" s="97">
        <v>0</v>
      </c>
      <c r="H60" s="97">
        <v>47</v>
      </c>
      <c r="I60" s="97">
        <v>249</v>
      </c>
      <c r="J60" s="97">
        <v>15</v>
      </c>
      <c r="K60" s="97">
        <v>3</v>
      </c>
      <c r="L60" s="97">
        <v>0</v>
      </c>
      <c r="M60" s="97">
        <v>43</v>
      </c>
      <c r="N60" s="97">
        <v>0</v>
      </c>
      <c r="O60" s="97">
        <v>68</v>
      </c>
      <c r="P60" s="97">
        <v>8</v>
      </c>
      <c r="Q60" s="97">
        <v>7</v>
      </c>
      <c r="R60" s="97">
        <v>0</v>
      </c>
      <c r="S60" s="252">
        <f t="shared" si="7"/>
        <v>84</v>
      </c>
      <c r="T60" s="274">
        <f>+S60-S59</f>
        <v>84</v>
      </c>
    </row>
    <row r="61" spans="1:20" s="22" customFormat="1" ht="13.5" customHeight="1">
      <c r="A61" s="479"/>
      <c r="B61" s="96" t="s">
        <v>312</v>
      </c>
      <c r="C61" s="97">
        <v>320</v>
      </c>
      <c r="D61" s="91">
        <f t="shared" si="8"/>
        <v>500</v>
      </c>
      <c r="E61" s="91">
        <f t="shared" si="9"/>
        <v>425</v>
      </c>
      <c r="F61" s="97">
        <v>0</v>
      </c>
      <c r="G61" s="97">
        <v>0</v>
      </c>
      <c r="H61" s="97">
        <v>71</v>
      </c>
      <c r="I61" s="97">
        <f>25+249</f>
        <v>274</v>
      </c>
      <c r="J61" s="97">
        <v>25</v>
      </c>
      <c r="K61" s="97">
        <v>3</v>
      </c>
      <c r="L61" s="97">
        <v>3</v>
      </c>
      <c r="M61" s="97">
        <v>49</v>
      </c>
      <c r="N61" s="97">
        <v>0</v>
      </c>
      <c r="O61" s="97">
        <v>47</v>
      </c>
      <c r="P61" s="97">
        <v>3</v>
      </c>
      <c r="Q61" s="97">
        <v>23</v>
      </c>
      <c r="R61" s="97">
        <v>2</v>
      </c>
      <c r="S61" s="252">
        <f t="shared" si="7"/>
        <v>90.04</v>
      </c>
      <c r="T61" s="274">
        <f>+S61-S60</f>
        <v>6.040000000000006</v>
      </c>
    </row>
    <row r="62" spans="1:20" s="22" customFormat="1" ht="13.5" customHeight="1">
      <c r="A62" s="479"/>
      <c r="B62" s="96" t="s">
        <v>320</v>
      </c>
      <c r="C62" s="91">
        <v>339</v>
      </c>
      <c r="D62" s="91">
        <f t="shared" si="8"/>
        <v>564</v>
      </c>
      <c r="E62" s="91">
        <f t="shared" si="9"/>
        <v>432</v>
      </c>
      <c r="F62" s="91">
        <v>0</v>
      </c>
      <c r="G62" s="91">
        <v>0</v>
      </c>
      <c r="H62" s="91">
        <v>70</v>
      </c>
      <c r="I62" s="91">
        <v>289</v>
      </c>
      <c r="J62" s="91">
        <v>22</v>
      </c>
      <c r="K62" s="91">
        <v>3</v>
      </c>
      <c r="L62" s="91">
        <v>5</v>
      </c>
      <c r="M62" s="91">
        <v>43</v>
      </c>
      <c r="N62" s="91">
        <v>0</v>
      </c>
      <c r="O62" s="91">
        <v>120</v>
      </c>
      <c r="P62" s="91">
        <v>1</v>
      </c>
      <c r="Q62" s="91">
        <v>11</v>
      </c>
      <c r="R62" s="91">
        <v>0</v>
      </c>
      <c r="S62" s="252">
        <f t="shared" si="7"/>
        <v>78.26</v>
      </c>
      <c r="T62" s="274">
        <f>+S62-S61</f>
        <v>-11.780000000000001</v>
      </c>
    </row>
    <row r="63" spans="1:20" s="22" customFormat="1" ht="13.5" customHeight="1">
      <c r="A63" s="479"/>
      <c r="B63" s="96" t="s">
        <v>330</v>
      </c>
      <c r="C63" s="91">
        <v>386</v>
      </c>
      <c r="D63" s="91">
        <f>+E63+N63+O63+P63+Q63+R63</f>
        <v>604</v>
      </c>
      <c r="E63" s="91">
        <f>SUM(H63:M63)</f>
        <v>506</v>
      </c>
      <c r="F63" s="91">
        <v>0</v>
      </c>
      <c r="G63" s="91">
        <v>0</v>
      </c>
      <c r="H63" s="91">
        <v>85</v>
      </c>
      <c r="I63" s="91">
        <v>365</v>
      </c>
      <c r="J63" s="91">
        <v>10</v>
      </c>
      <c r="K63" s="91">
        <v>2</v>
      </c>
      <c r="L63" s="91">
        <v>0</v>
      </c>
      <c r="M63" s="91">
        <v>44</v>
      </c>
      <c r="N63" s="91">
        <v>0</v>
      </c>
      <c r="O63" s="91">
        <v>76</v>
      </c>
      <c r="P63" s="91">
        <v>6</v>
      </c>
      <c r="Q63" s="91">
        <v>14</v>
      </c>
      <c r="R63" s="91">
        <v>2</v>
      </c>
      <c r="S63" s="252">
        <f t="shared" si="7"/>
        <v>86.94</v>
      </c>
      <c r="T63" s="274">
        <f>+S63-S62</f>
        <v>8.679999999999993</v>
      </c>
    </row>
    <row r="64" spans="1:20" s="22" customFormat="1" ht="13.5" customHeight="1">
      <c r="A64" s="479"/>
      <c r="B64" s="96" t="s">
        <v>360</v>
      </c>
      <c r="C64" s="334">
        <v>470</v>
      </c>
      <c r="D64" s="334">
        <v>698</v>
      </c>
      <c r="E64" s="334">
        <v>591</v>
      </c>
      <c r="F64" s="334">
        <v>0</v>
      </c>
      <c r="G64" s="334">
        <v>0</v>
      </c>
      <c r="H64" s="334">
        <v>160</v>
      </c>
      <c r="I64" s="334">
        <v>349</v>
      </c>
      <c r="J64" s="334">
        <v>15</v>
      </c>
      <c r="K64" s="334">
        <v>4</v>
      </c>
      <c r="L64" s="334">
        <v>3</v>
      </c>
      <c r="M64" s="334">
        <v>60</v>
      </c>
      <c r="N64" s="334">
        <v>0</v>
      </c>
      <c r="O64" s="334">
        <v>82</v>
      </c>
      <c r="P64" s="334">
        <v>12</v>
      </c>
      <c r="Q64" s="334">
        <v>13</v>
      </c>
      <c r="R64" s="334">
        <v>0</v>
      </c>
      <c r="S64" s="336">
        <f t="shared" si="7"/>
        <v>87.82</v>
      </c>
      <c r="T64" s="274">
        <f>+S64-S63</f>
        <v>0.8799999999999955</v>
      </c>
    </row>
    <row r="65" spans="1:19" s="22" customFormat="1" ht="13.5" customHeight="1">
      <c r="A65" s="479"/>
      <c r="B65" s="211" t="s">
        <v>68</v>
      </c>
      <c r="C65" s="97"/>
      <c r="D65" s="91"/>
      <c r="E65" s="91"/>
      <c r="F65" s="97"/>
      <c r="G65" s="97"/>
      <c r="H65" s="97"/>
      <c r="I65" s="97"/>
      <c r="J65" s="97"/>
      <c r="K65" s="97"/>
      <c r="L65" s="97"/>
      <c r="M65" s="97"/>
      <c r="N65" s="97"/>
      <c r="O65" s="97"/>
      <c r="P65" s="97"/>
      <c r="Q65" s="97"/>
      <c r="R65" s="97"/>
      <c r="S65" s="172"/>
    </row>
    <row r="66" spans="1:19" s="22" customFormat="1" ht="9" customHeight="1" hidden="1">
      <c r="A66" s="479"/>
      <c r="B66" s="210" t="s">
        <v>164</v>
      </c>
      <c r="C66" s="97">
        <v>0</v>
      </c>
      <c r="D66" s="91">
        <v>0</v>
      </c>
      <c r="E66" s="91">
        <v>0</v>
      </c>
      <c r="F66" s="104">
        <v>0</v>
      </c>
      <c r="G66" s="97">
        <v>0</v>
      </c>
      <c r="H66" s="97">
        <v>0</v>
      </c>
      <c r="I66" s="97">
        <v>0</v>
      </c>
      <c r="J66" s="97">
        <v>0</v>
      </c>
      <c r="K66" s="97">
        <v>0</v>
      </c>
      <c r="L66" s="97">
        <v>0</v>
      </c>
      <c r="M66" s="97">
        <v>0</v>
      </c>
      <c r="N66" s="97">
        <v>0</v>
      </c>
      <c r="O66" s="97">
        <v>0</v>
      </c>
      <c r="P66" s="97">
        <v>0</v>
      </c>
      <c r="Q66" s="97">
        <v>0</v>
      </c>
      <c r="R66" s="97">
        <v>0</v>
      </c>
      <c r="S66" s="97">
        <v>0</v>
      </c>
    </row>
    <row r="67" spans="1:19" s="22" customFormat="1" ht="9" customHeight="1" hidden="1">
      <c r="A67" s="479"/>
      <c r="B67" s="210" t="s">
        <v>170</v>
      </c>
      <c r="C67" s="97">
        <v>0</v>
      </c>
      <c r="D67" s="91">
        <v>0</v>
      </c>
      <c r="E67" s="91">
        <v>0</v>
      </c>
      <c r="F67" s="104">
        <v>0</v>
      </c>
      <c r="G67" s="97">
        <v>0</v>
      </c>
      <c r="H67" s="97">
        <v>0</v>
      </c>
      <c r="I67" s="97">
        <v>0</v>
      </c>
      <c r="J67" s="97">
        <v>0</v>
      </c>
      <c r="K67" s="97">
        <v>0</v>
      </c>
      <c r="L67" s="97">
        <v>0</v>
      </c>
      <c r="M67" s="97">
        <v>0</v>
      </c>
      <c r="N67" s="97">
        <v>0</v>
      </c>
      <c r="O67" s="97">
        <v>0</v>
      </c>
      <c r="P67" s="97">
        <v>0</v>
      </c>
      <c r="Q67" s="97">
        <v>0</v>
      </c>
      <c r="R67" s="97">
        <v>0</v>
      </c>
      <c r="S67" s="97">
        <v>0</v>
      </c>
    </row>
    <row r="68" spans="1:19" s="22" customFormat="1" ht="9" customHeight="1" hidden="1">
      <c r="A68" s="479"/>
      <c r="B68" s="210" t="s">
        <v>171</v>
      </c>
      <c r="C68" s="97">
        <v>0</v>
      </c>
      <c r="D68" s="91">
        <v>0</v>
      </c>
      <c r="E68" s="91">
        <v>0</v>
      </c>
      <c r="F68" s="104">
        <v>0</v>
      </c>
      <c r="G68" s="97">
        <v>0</v>
      </c>
      <c r="H68" s="97">
        <v>0</v>
      </c>
      <c r="I68" s="97">
        <v>0</v>
      </c>
      <c r="J68" s="97">
        <v>0</v>
      </c>
      <c r="K68" s="97">
        <v>0</v>
      </c>
      <c r="L68" s="97">
        <v>0</v>
      </c>
      <c r="M68" s="97">
        <v>0</v>
      </c>
      <c r="N68" s="97">
        <v>0</v>
      </c>
      <c r="O68" s="97">
        <v>0</v>
      </c>
      <c r="P68" s="97">
        <v>0</v>
      </c>
      <c r="Q68" s="97">
        <v>0</v>
      </c>
      <c r="R68" s="97">
        <v>0</v>
      </c>
      <c r="S68" s="97">
        <v>0</v>
      </c>
    </row>
    <row r="69" spans="1:19" s="22" customFormat="1" ht="9" customHeight="1" hidden="1">
      <c r="A69" s="479"/>
      <c r="B69" s="25" t="s">
        <v>157</v>
      </c>
      <c r="C69" s="97">
        <f>SUM(D69:I69)</f>
        <v>0</v>
      </c>
      <c r="D69" s="91">
        <v>0</v>
      </c>
      <c r="E69" s="91">
        <v>0</v>
      </c>
      <c r="F69" s="104">
        <v>0</v>
      </c>
      <c r="G69" s="97">
        <v>0</v>
      </c>
      <c r="H69" s="97">
        <v>0</v>
      </c>
      <c r="I69" s="97">
        <v>0</v>
      </c>
      <c r="J69" s="97">
        <f>SUM(K69:M69)</f>
        <v>0</v>
      </c>
      <c r="K69" s="97">
        <v>0</v>
      </c>
      <c r="L69" s="97">
        <v>0</v>
      </c>
      <c r="M69" s="97">
        <v>0</v>
      </c>
      <c r="N69" s="97">
        <f>SUM(O69:R69)</f>
        <v>0</v>
      </c>
      <c r="O69" s="97">
        <v>0</v>
      </c>
      <c r="P69" s="97">
        <v>0</v>
      </c>
      <c r="Q69" s="97">
        <v>0</v>
      </c>
      <c r="R69" s="97">
        <v>0</v>
      </c>
      <c r="S69" s="97">
        <f>SUM(T69:W69)</f>
        <v>0</v>
      </c>
    </row>
    <row r="70" spans="1:19" s="22" customFormat="1" ht="9" customHeight="1" hidden="1">
      <c r="A70" s="479"/>
      <c r="B70" s="25" t="s">
        <v>158</v>
      </c>
      <c r="C70" s="169">
        <v>0</v>
      </c>
      <c r="D70" s="91">
        <v>0</v>
      </c>
      <c r="E70" s="91">
        <v>0</v>
      </c>
      <c r="F70" s="104">
        <v>0</v>
      </c>
      <c r="G70" s="97">
        <v>0</v>
      </c>
      <c r="H70" s="97">
        <v>0</v>
      </c>
      <c r="I70" s="97">
        <v>0</v>
      </c>
      <c r="J70" s="97">
        <v>0</v>
      </c>
      <c r="K70" s="97">
        <v>0</v>
      </c>
      <c r="L70" s="97">
        <v>0</v>
      </c>
      <c r="M70" s="97">
        <v>0</v>
      </c>
      <c r="N70" s="97">
        <v>0</v>
      </c>
      <c r="O70" s="97">
        <v>0</v>
      </c>
      <c r="P70" s="97">
        <v>0</v>
      </c>
      <c r="Q70" s="97">
        <v>0</v>
      </c>
      <c r="R70" s="97">
        <v>0</v>
      </c>
      <c r="S70" s="97">
        <v>0</v>
      </c>
    </row>
    <row r="71" spans="1:19" s="22" customFormat="1" ht="9" customHeight="1" hidden="1">
      <c r="A71" s="480"/>
      <c r="B71" s="210" t="s">
        <v>165</v>
      </c>
      <c r="C71" s="169">
        <v>0</v>
      </c>
      <c r="D71" s="91">
        <f>+E71+N71+O71+P71+Q71+R71</f>
        <v>0</v>
      </c>
      <c r="E71" s="91">
        <v>0</v>
      </c>
      <c r="F71" s="104">
        <v>0</v>
      </c>
      <c r="G71" s="97">
        <v>0</v>
      </c>
      <c r="H71" s="97">
        <v>0</v>
      </c>
      <c r="I71" s="97">
        <v>0</v>
      </c>
      <c r="J71" s="97">
        <v>0</v>
      </c>
      <c r="K71" s="97">
        <v>0</v>
      </c>
      <c r="L71" s="97">
        <v>0</v>
      </c>
      <c r="M71" s="97">
        <v>0</v>
      </c>
      <c r="N71" s="97">
        <v>0</v>
      </c>
      <c r="O71" s="97">
        <v>0</v>
      </c>
      <c r="P71" s="97">
        <v>0</v>
      </c>
      <c r="Q71" s="97">
        <v>0</v>
      </c>
      <c r="R71" s="97">
        <v>0</v>
      </c>
      <c r="S71" s="97">
        <v>0</v>
      </c>
    </row>
    <row r="72" spans="1:19" s="22" customFormat="1" ht="9" customHeight="1" hidden="1">
      <c r="A72" s="480"/>
      <c r="B72" s="222" t="s">
        <v>191</v>
      </c>
      <c r="C72" s="169">
        <v>0</v>
      </c>
      <c r="D72" s="91">
        <f>+E72+N72+O72+P72+Q72+R72</f>
        <v>0</v>
      </c>
      <c r="E72" s="91">
        <v>0</v>
      </c>
      <c r="F72" s="104">
        <v>0</v>
      </c>
      <c r="G72" s="97">
        <v>0</v>
      </c>
      <c r="H72" s="97">
        <v>0</v>
      </c>
      <c r="I72" s="97">
        <v>0</v>
      </c>
      <c r="J72" s="97">
        <v>0</v>
      </c>
      <c r="K72" s="97">
        <v>0</v>
      </c>
      <c r="L72" s="97">
        <v>0</v>
      </c>
      <c r="M72" s="97">
        <v>0</v>
      </c>
      <c r="N72" s="97">
        <v>0</v>
      </c>
      <c r="O72" s="97">
        <v>0</v>
      </c>
      <c r="P72" s="97">
        <v>0</v>
      </c>
      <c r="Q72" s="97">
        <v>0</v>
      </c>
      <c r="R72" s="97">
        <v>0</v>
      </c>
      <c r="S72" s="97">
        <v>0</v>
      </c>
    </row>
    <row r="73" spans="1:19" s="22" customFormat="1" ht="9" customHeight="1" hidden="1">
      <c r="A73" s="480"/>
      <c r="B73" s="222" t="s">
        <v>209</v>
      </c>
      <c r="C73" s="169">
        <v>0</v>
      </c>
      <c r="D73" s="91">
        <f>+E73+N73+O73+P73+Q73+R73</f>
        <v>0</v>
      </c>
      <c r="E73" s="91">
        <v>0</v>
      </c>
      <c r="F73" s="104">
        <v>0</v>
      </c>
      <c r="G73" s="97">
        <v>0</v>
      </c>
      <c r="H73" s="97">
        <v>0</v>
      </c>
      <c r="I73" s="97">
        <v>0</v>
      </c>
      <c r="J73" s="97">
        <v>0</v>
      </c>
      <c r="K73" s="97">
        <v>0</v>
      </c>
      <c r="L73" s="97">
        <v>0</v>
      </c>
      <c r="M73" s="97">
        <v>0</v>
      </c>
      <c r="N73" s="97">
        <v>0</v>
      </c>
      <c r="O73" s="97">
        <v>0</v>
      </c>
      <c r="P73" s="97">
        <v>0</v>
      </c>
      <c r="Q73" s="97">
        <v>0</v>
      </c>
      <c r="R73" s="97">
        <v>0</v>
      </c>
      <c r="S73" s="97">
        <v>0</v>
      </c>
    </row>
    <row r="74" spans="1:19" s="22" customFormat="1" ht="9" customHeight="1" hidden="1">
      <c r="A74" s="480"/>
      <c r="B74" s="222" t="s">
        <v>208</v>
      </c>
      <c r="C74" s="169">
        <v>2</v>
      </c>
      <c r="D74" s="91">
        <f>+E74+N74+O74+P74+Q74+R74</f>
        <v>3</v>
      </c>
      <c r="E74" s="91">
        <v>0</v>
      </c>
      <c r="F74" s="104">
        <v>0</v>
      </c>
      <c r="G74" s="97">
        <v>0</v>
      </c>
      <c r="H74" s="97">
        <v>0</v>
      </c>
      <c r="I74" s="97">
        <v>0</v>
      </c>
      <c r="J74" s="97">
        <v>0</v>
      </c>
      <c r="K74" s="97">
        <v>0</v>
      </c>
      <c r="L74" s="97">
        <v>0</v>
      </c>
      <c r="M74" s="97">
        <v>0</v>
      </c>
      <c r="N74" s="97">
        <v>0</v>
      </c>
      <c r="O74" s="97">
        <v>0</v>
      </c>
      <c r="P74" s="97">
        <v>0</v>
      </c>
      <c r="Q74" s="97">
        <v>3</v>
      </c>
      <c r="R74" s="97">
        <v>0</v>
      </c>
      <c r="S74" s="97">
        <f>+ROUND((E74+N74)/D74*100,2)</f>
        <v>0</v>
      </c>
    </row>
    <row r="75" spans="1:19" s="22" customFormat="1" ht="9" customHeight="1" hidden="1">
      <c r="A75" s="480"/>
      <c r="B75" s="222" t="s">
        <v>236</v>
      </c>
      <c r="C75" s="169">
        <v>0</v>
      </c>
      <c r="D75" s="91">
        <v>0</v>
      </c>
      <c r="E75" s="91">
        <v>0</v>
      </c>
      <c r="F75" s="104">
        <v>0</v>
      </c>
      <c r="G75" s="97">
        <v>0</v>
      </c>
      <c r="H75" s="97">
        <v>0</v>
      </c>
      <c r="I75" s="97">
        <v>0</v>
      </c>
      <c r="J75" s="97">
        <v>0</v>
      </c>
      <c r="K75" s="97">
        <v>0</v>
      </c>
      <c r="L75" s="97">
        <v>0</v>
      </c>
      <c r="M75" s="97">
        <v>0</v>
      </c>
      <c r="N75" s="97">
        <v>0</v>
      </c>
      <c r="O75" s="97">
        <v>0</v>
      </c>
      <c r="P75" s="97">
        <v>0</v>
      </c>
      <c r="Q75" s="97">
        <v>0</v>
      </c>
      <c r="R75" s="97">
        <v>0</v>
      </c>
      <c r="S75" s="97">
        <v>0</v>
      </c>
    </row>
    <row r="76" spans="1:19" s="22" customFormat="1" ht="0.75" customHeight="1">
      <c r="A76" s="480"/>
      <c r="B76" s="222" t="s">
        <v>242</v>
      </c>
      <c r="C76" s="169">
        <v>0</v>
      </c>
      <c r="D76" s="91">
        <f aca="true" t="shared" si="10" ref="D76:D83">+E76+N76+O76+P76+Q76+R76</f>
        <v>0</v>
      </c>
      <c r="E76" s="91">
        <f aca="true" t="shared" si="11" ref="E76:E83">SUM(H76:M76)</f>
        <v>0</v>
      </c>
      <c r="F76" s="104">
        <v>0</v>
      </c>
      <c r="G76" s="97">
        <v>0</v>
      </c>
      <c r="H76" s="97">
        <v>0</v>
      </c>
      <c r="I76" s="97">
        <v>0</v>
      </c>
      <c r="J76" s="97">
        <v>0</v>
      </c>
      <c r="K76" s="97">
        <v>0</v>
      </c>
      <c r="L76" s="97">
        <v>0</v>
      </c>
      <c r="M76" s="97">
        <v>0</v>
      </c>
      <c r="N76" s="97">
        <v>0</v>
      </c>
      <c r="O76" s="97">
        <v>0</v>
      </c>
      <c r="P76" s="97">
        <v>0</v>
      </c>
      <c r="Q76" s="97">
        <v>0</v>
      </c>
      <c r="R76" s="97">
        <v>0</v>
      </c>
      <c r="S76" s="97">
        <v>0</v>
      </c>
    </row>
    <row r="77" spans="1:19" s="22" customFormat="1" ht="13.5" customHeight="1" hidden="1">
      <c r="A77" s="480"/>
      <c r="B77" s="222" t="s">
        <v>248</v>
      </c>
      <c r="C77" s="97">
        <v>1</v>
      </c>
      <c r="D77" s="91">
        <f t="shared" si="10"/>
        <v>3</v>
      </c>
      <c r="E77" s="91">
        <f t="shared" si="11"/>
        <v>3</v>
      </c>
      <c r="F77" s="104">
        <v>0</v>
      </c>
      <c r="G77" s="97">
        <v>0</v>
      </c>
      <c r="H77" s="97">
        <v>0</v>
      </c>
      <c r="I77" s="97">
        <v>3</v>
      </c>
      <c r="J77" s="97">
        <v>0</v>
      </c>
      <c r="K77" s="97">
        <v>0</v>
      </c>
      <c r="L77" s="97">
        <v>0</v>
      </c>
      <c r="M77" s="97">
        <v>0</v>
      </c>
      <c r="N77" s="97">
        <v>0</v>
      </c>
      <c r="O77" s="97">
        <v>0</v>
      </c>
      <c r="P77" s="97">
        <v>0</v>
      </c>
      <c r="Q77" s="97">
        <v>0</v>
      </c>
      <c r="R77" s="97">
        <v>0</v>
      </c>
      <c r="S77" s="251">
        <f>+ROUND((E77+N77)/D77*100,2)</f>
        <v>100</v>
      </c>
    </row>
    <row r="78" spans="1:19" s="22" customFormat="1" ht="13.5" customHeight="1" hidden="1">
      <c r="A78" s="480"/>
      <c r="B78" s="222" t="s">
        <v>255</v>
      </c>
      <c r="C78" s="169">
        <v>0</v>
      </c>
      <c r="D78" s="91">
        <f t="shared" si="10"/>
        <v>0</v>
      </c>
      <c r="E78" s="91">
        <f t="shared" si="11"/>
        <v>0</v>
      </c>
      <c r="F78" s="104">
        <v>0</v>
      </c>
      <c r="G78" s="97">
        <v>0</v>
      </c>
      <c r="H78" s="97">
        <v>0</v>
      </c>
      <c r="I78" s="97">
        <v>0</v>
      </c>
      <c r="J78" s="97">
        <v>0</v>
      </c>
      <c r="K78" s="97">
        <v>0</v>
      </c>
      <c r="L78" s="97">
        <v>0</v>
      </c>
      <c r="M78" s="97">
        <v>0</v>
      </c>
      <c r="N78" s="97">
        <v>0</v>
      </c>
      <c r="O78" s="97">
        <v>0</v>
      </c>
      <c r="P78" s="97">
        <v>0</v>
      </c>
      <c r="Q78" s="97">
        <v>0</v>
      </c>
      <c r="R78" s="97">
        <v>0</v>
      </c>
      <c r="S78" s="251">
        <v>0</v>
      </c>
    </row>
    <row r="79" spans="1:19" s="106" customFormat="1" ht="13.5" customHeight="1" hidden="1">
      <c r="A79" s="480"/>
      <c r="B79" s="222" t="s">
        <v>266</v>
      </c>
      <c r="C79" s="97">
        <v>0</v>
      </c>
      <c r="D79" s="91">
        <f t="shared" si="10"/>
        <v>0</v>
      </c>
      <c r="E79" s="91">
        <f t="shared" si="11"/>
        <v>0</v>
      </c>
      <c r="F79" s="104">
        <v>0</v>
      </c>
      <c r="G79" s="97">
        <v>0</v>
      </c>
      <c r="H79" s="97">
        <v>0</v>
      </c>
      <c r="I79" s="97">
        <v>0</v>
      </c>
      <c r="J79" s="97">
        <v>0</v>
      </c>
      <c r="K79" s="97">
        <v>0</v>
      </c>
      <c r="L79" s="97">
        <v>0</v>
      </c>
      <c r="M79" s="97">
        <v>0</v>
      </c>
      <c r="N79" s="97">
        <v>0</v>
      </c>
      <c r="O79" s="97">
        <v>0</v>
      </c>
      <c r="P79" s="97">
        <v>0</v>
      </c>
      <c r="Q79" s="97">
        <v>0</v>
      </c>
      <c r="R79" s="97">
        <v>0</v>
      </c>
      <c r="S79" s="251">
        <v>0</v>
      </c>
    </row>
    <row r="80" spans="1:19" s="106" customFormat="1" ht="13.5" customHeight="1">
      <c r="A80" s="480"/>
      <c r="B80" s="222" t="s">
        <v>303</v>
      </c>
      <c r="C80" s="97">
        <v>0</v>
      </c>
      <c r="D80" s="91">
        <f t="shared" si="10"/>
        <v>0</v>
      </c>
      <c r="E80" s="91">
        <f t="shared" si="11"/>
        <v>0</v>
      </c>
      <c r="F80" s="97">
        <v>0</v>
      </c>
      <c r="G80" s="97">
        <v>0</v>
      </c>
      <c r="H80" s="97">
        <v>0</v>
      </c>
      <c r="I80" s="97">
        <v>0</v>
      </c>
      <c r="J80" s="97">
        <v>0</v>
      </c>
      <c r="K80" s="97">
        <v>0</v>
      </c>
      <c r="L80" s="97">
        <v>0</v>
      </c>
      <c r="M80" s="97">
        <v>0</v>
      </c>
      <c r="N80" s="97">
        <v>0</v>
      </c>
      <c r="O80" s="97">
        <v>0</v>
      </c>
      <c r="P80" s="97">
        <v>0</v>
      </c>
      <c r="Q80" s="97">
        <v>0</v>
      </c>
      <c r="R80" s="97">
        <v>0</v>
      </c>
      <c r="S80" s="251">
        <v>0</v>
      </c>
    </row>
    <row r="81" spans="1:19" s="106" customFormat="1" ht="13.5" customHeight="1">
      <c r="A81" s="480"/>
      <c r="B81" s="222" t="s">
        <v>312</v>
      </c>
      <c r="C81" s="97">
        <v>0</v>
      </c>
      <c r="D81" s="91">
        <f t="shared" si="10"/>
        <v>0</v>
      </c>
      <c r="E81" s="91">
        <f t="shared" si="11"/>
        <v>0</v>
      </c>
      <c r="F81" s="97">
        <v>0</v>
      </c>
      <c r="G81" s="97">
        <v>0</v>
      </c>
      <c r="H81" s="97">
        <v>0</v>
      </c>
      <c r="I81" s="97">
        <v>0</v>
      </c>
      <c r="J81" s="97">
        <v>0</v>
      </c>
      <c r="K81" s="97">
        <v>0</v>
      </c>
      <c r="L81" s="97">
        <v>0</v>
      </c>
      <c r="M81" s="97">
        <v>0</v>
      </c>
      <c r="N81" s="97">
        <v>0</v>
      </c>
      <c r="O81" s="97">
        <v>0</v>
      </c>
      <c r="P81" s="97">
        <v>0</v>
      </c>
      <c r="Q81" s="97">
        <v>0</v>
      </c>
      <c r="R81" s="97">
        <v>0</v>
      </c>
      <c r="S81" s="251">
        <v>0</v>
      </c>
    </row>
    <row r="82" spans="1:19" s="106" customFormat="1" ht="13.5" customHeight="1">
      <c r="A82" s="480"/>
      <c r="B82" s="222" t="s">
        <v>320</v>
      </c>
      <c r="C82" s="97">
        <v>0</v>
      </c>
      <c r="D82" s="91">
        <f t="shared" si="10"/>
        <v>0</v>
      </c>
      <c r="E82" s="91">
        <f t="shared" si="11"/>
        <v>0</v>
      </c>
      <c r="F82" s="91">
        <v>0</v>
      </c>
      <c r="G82" s="91">
        <v>0</v>
      </c>
      <c r="H82" s="91">
        <v>0</v>
      </c>
      <c r="I82" s="91">
        <v>0</v>
      </c>
      <c r="J82" s="91">
        <v>0</v>
      </c>
      <c r="K82" s="91">
        <v>0</v>
      </c>
      <c r="L82" s="91">
        <v>0</v>
      </c>
      <c r="M82" s="91">
        <v>0</v>
      </c>
      <c r="N82" s="91">
        <v>0</v>
      </c>
      <c r="O82" s="91">
        <v>0</v>
      </c>
      <c r="P82" s="91">
        <v>0</v>
      </c>
      <c r="Q82" s="91">
        <v>0</v>
      </c>
      <c r="R82" s="91">
        <v>0</v>
      </c>
      <c r="S82" s="251">
        <v>0</v>
      </c>
    </row>
    <row r="83" spans="1:19" s="106" customFormat="1" ht="13.5" customHeight="1">
      <c r="A83" s="480"/>
      <c r="B83" s="222" t="s">
        <v>330</v>
      </c>
      <c r="C83" s="91"/>
      <c r="D83" s="91">
        <f t="shared" si="10"/>
        <v>0</v>
      </c>
      <c r="E83" s="91">
        <f t="shared" si="11"/>
        <v>0</v>
      </c>
      <c r="F83" s="91">
        <v>0</v>
      </c>
      <c r="G83" s="91">
        <v>0</v>
      </c>
      <c r="H83" s="91">
        <v>0</v>
      </c>
      <c r="I83" s="91">
        <v>0</v>
      </c>
      <c r="J83" s="91">
        <v>0</v>
      </c>
      <c r="K83" s="91">
        <v>0</v>
      </c>
      <c r="L83" s="91">
        <v>0</v>
      </c>
      <c r="M83" s="91">
        <v>0</v>
      </c>
      <c r="N83" s="91">
        <v>0</v>
      </c>
      <c r="O83" s="91">
        <v>0</v>
      </c>
      <c r="P83" s="91">
        <v>0</v>
      </c>
      <c r="Q83" s="91">
        <v>0</v>
      </c>
      <c r="R83" s="91">
        <v>0</v>
      </c>
      <c r="S83" s="250">
        <v>0</v>
      </c>
    </row>
    <row r="84" spans="1:19" s="106" customFormat="1" ht="13.5" customHeight="1">
      <c r="A84" s="480"/>
      <c r="B84" s="222" t="s">
        <v>360</v>
      </c>
      <c r="C84" s="91"/>
      <c r="D84" s="91"/>
      <c r="E84" s="91"/>
      <c r="F84" s="91"/>
      <c r="G84" s="91"/>
      <c r="H84" s="91"/>
      <c r="I84" s="91"/>
      <c r="J84" s="91"/>
      <c r="K84" s="91"/>
      <c r="L84" s="91"/>
      <c r="M84" s="91"/>
      <c r="N84" s="91"/>
      <c r="O84" s="91"/>
      <c r="P84" s="91"/>
      <c r="Q84" s="91"/>
      <c r="R84" s="91"/>
      <c r="S84" s="250"/>
    </row>
    <row r="85" spans="1:19" s="106" customFormat="1" ht="13.5" customHeight="1">
      <c r="A85" s="480"/>
      <c r="B85" s="211" t="s">
        <v>69</v>
      </c>
      <c r="C85" s="91" t="s">
        <v>30</v>
      </c>
      <c r="D85" s="91"/>
      <c r="E85" s="91"/>
      <c r="F85" s="93" t="s">
        <v>30</v>
      </c>
      <c r="G85" s="93" t="s">
        <v>30</v>
      </c>
      <c r="H85" s="93"/>
      <c r="I85" s="93"/>
      <c r="J85" s="93"/>
      <c r="K85" s="93"/>
      <c r="L85" s="93"/>
      <c r="M85" s="93" t="s">
        <v>30</v>
      </c>
      <c r="N85" s="93" t="s">
        <v>30</v>
      </c>
      <c r="O85" s="93" t="s">
        <v>30</v>
      </c>
      <c r="P85" s="93" t="s">
        <v>30</v>
      </c>
      <c r="Q85" s="93" t="s">
        <v>30</v>
      </c>
      <c r="R85" s="93" t="s">
        <v>30</v>
      </c>
      <c r="S85" s="93"/>
    </row>
    <row r="86" spans="1:19" s="106" customFormat="1" ht="13.5" customHeight="1" hidden="1">
      <c r="A86" s="480"/>
      <c r="B86" s="210" t="s">
        <v>65</v>
      </c>
      <c r="C86" s="93" t="s">
        <v>71</v>
      </c>
      <c r="D86" s="91" t="s">
        <v>71</v>
      </c>
      <c r="E86" s="91">
        <f>SUM(H86:M86)</f>
        <v>0</v>
      </c>
      <c r="F86" s="93" t="s">
        <v>71</v>
      </c>
      <c r="G86" s="93" t="s">
        <v>71</v>
      </c>
      <c r="H86" s="93" t="s">
        <v>71</v>
      </c>
      <c r="I86" s="93">
        <v>0</v>
      </c>
      <c r="J86" s="93">
        <v>0</v>
      </c>
      <c r="K86" s="93">
        <v>0</v>
      </c>
      <c r="L86" s="93" t="s">
        <v>71</v>
      </c>
      <c r="M86" s="93" t="s">
        <v>71</v>
      </c>
      <c r="N86" s="93" t="s">
        <v>71</v>
      </c>
      <c r="O86" s="93" t="s">
        <v>71</v>
      </c>
      <c r="P86" s="93" t="s">
        <v>71</v>
      </c>
      <c r="Q86" s="93" t="s">
        <v>71</v>
      </c>
      <c r="R86" s="93" t="s">
        <v>71</v>
      </c>
      <c r="S86" s="92" t="s">
        <v>102</v>
      </c>
    </row>
    <row r="87" spans="1:19" s="106" customFormat="1" ht="13.5" customHeight="1" hidden="1">
      <c r="A87" s="480"/>
      <c r="B87" s="210" t="s">
        <v>101</v>
      </c>
      <c r="C87" s="93" t="s">
        <v>71</v>
      </c>
      <c r="D87" s="91" t="s">
        <v>71</v>
      </c>
      <c r="E87" s="91">
        <f>SUM(H87:M87)</f>
        <v>0</v>
      </c>
      <c r="F87" s="93" t="s">
        <v>71</v>
      </c>
      <c r="G87" s="93" t="s">
        <v>71</v>
      </c>
      <c r="H87" s="93" t="s">
        <v>71</v>
      </c>
      <c r="I87" s="93">
        <v>0</v>
      </c>
      <c r="J87" s="93">
        <v>0</v>
      </c>
      <c r="K87" s="93">
        <v>0</v>
      </c>
      <c r="L87" s="93" t="s">
        <v>71</v>
      </c>
      <c r="M87" s="93" t="s">
        <v>71</v>
      </c>
      <c r="N87" s="93" t="s">
        <v>71</v>
      </c>
      <c r="O87" s="93" t="s">
        <v>71</v>
      </c>
      <c r="P87" s="93" t="s">
        <v>71</v>
      </c>
      <c r="Q87" s="93" t="s">
        <v>71</v>
      </c>
      <c r="R87" s="93" t="s">
        <v>71</v>
      </c>
      <c r="S87" s="92" t="s">
        <v>102</v>
      </c>
    </row>
    <row r="88" spans="1:19" s="106" customFormat="1" ht="13.5" customHeight="1" hidden="1">
      <c r="A88" s="480"/>
      <c r="B88" s="293" t="s">
        <v>192</v>
      </c>
      <c r="C88" s="164">
        <v>0</v>
      </c>
      <c r="D88" s="91">
        <v>0</v>
      </c>
      <c r="E88" s="91">
        <v>0</v>
      </c>
      <c r="F88" s="164">
        <v>0</v>
      </c>
      <c r="G88" s="164">
        <v>0</v>
      </c>
      <c r="H88" s="164">
        <v>0</v>
      </c>
      <c r="I88" s="164">
        <v>0</v>
      </c>
      <c r="J88" s="164">
        <v>0</v>
      </c>
      <c r="K88" s="164">
        <v>0</v>
      </c>
      <c r="L88" s="164">
        <v>0</v>
      </c>
      <c r="M88" s="164">
        <v>0</v>
      </c>
      <c r="N88" s="164">
        <v>0</v>
      </c>
      <c r="O88" s="164">
        <v>0</v>
      </c>
      <c r="P88" s="164">
        <v>0</v>
      </c>
      <c r="Q88" s="164">
        <v>0</v>
      </c>
      <c r="R88" s="164">
        <v>0</v>
      </c>
      <c r="S88" s="92" t="s">
        <v>102</v>
      </c>
    </row>
    <row r="89" spans="1:19" s="106" customFormat="1" ht="13.5" customHeight="1" hidden="1">
      <c r="A89" s="480"/>
      <c r="B89" s="293" t="s">
        <v>166</v>
      </c>
      <c r="C89" s="164">
        <v>0</v>
      </c>
      <c r="D89" s="91">
        <v>0</v>
      </c>
      <c r="E89" s="91">
        <v>0</v>
      </c>
      <c r="F89" s="164">
        <v>0</v>
      </c>
      <c r="G89" s="164">
        <v>0</v>
      </c>
      <c r="H89" s="164">
        <v>0</v>
      </c>
      <c r="I89" s="164">
        <v>0</v>
      </c>
      <c r="J89" s="164">
        <v>0</v>
      </c>
      <c r="K89" s="164">
        <v>0</v>
      </c>
      <c r="L89" s="164">
        <v>0</v>
      </c>
      <c r="M89" s="164">
        <v>0</v>
      </c>
      <c r="N89" s="164">
        <v>0</v>
      </c>
      <c r="O89" s="164">
        <v>0</v>
      </c>
      <c r="P89" s="164">
        <v>0</v>
      </c>
      <c r="Q89" s="164">
        <v>0</v>
      </c>
      <c r="R89" s="164">
        <v>0</v>
      </c>
      <c r="S89" s="92" t="s">
        <v>102</v>
      </c>
    </row>
    <row r="90" spans="1:19" s="106" customFormat="1" ht="13.5" customHeight="1" hidden="1">
      <c r="A90" s="480"/>
      <c r="B90" s="293" t="s">
        <v>167</v>
      </c>
      <c r="C90" s="164">
        <v>0</v>
      </c>
      <c r="D90" s="91">
        <v>0</v>
      </c>
      <c r="E90" s="91">
        <v>0</v>
      </c>
      <c r="F90" s="164">
        <v>0</v>
      </c>
      <c r="G90" s="164">
        <v>0</v>
      </c>
      <c r="H90" s="164">
        <v>0</v>
      </c>
      <c r="I90" s="164">
        <v>0</v>
      </c>
      <c r="J90" s="164">
        <v>0</v>
      </c>
      <c r="K90" s="164">
        <v>0</v>
      </c>
      <c r="L90" s="164">
        <v>0</v>
      </c>
      <c r="M90" s="164">
        <v>0</v>
      </c>
      <c r="N90" s="164">
        <v>0</v>
      </c>
      <c r="O90" s="164">
        <v>0</v>
      </c>
      <c r="P90" s="164">
        <v>0</v>
      </c>
      <c r="Q90" s="164">
        <v>0</v>
      </c>
      <c r="R90" s="164">
        <v>0</v>
      </c>
      <c r="S90" s="93">
        <v>0</v>
      </c>
    </row>
    <row r="91" spans="1:19" s="106" customFormat="1" ht="13.5" customHeight="1" hidden="1">
      <c r="A91" s="480"/>
      <c r="B91" s="293" t="s">
        <v>169</v>
      </c>
      <c r="C91" s="164">
        <v>1</v>
      </c>
      <c r="D91" s="91">
        <v>3</v>
      </c>
      <c r="E91" s="91">
        <v>2</v>
      </c>
      <c r="F91" s="164">
        <v>0</v>
      </c>
      <c r="G91" s="164">
        <v>0</v>
      </c>
      <c r="H91" s="164">
        <v>0</v>
      </c>
      <c r="I91" s="164">
        <v>0</v>
      </c>
      <c r="J91" s="164">
        <v>0</v>
      </c>
      <c r="K91" s="164">
        <v>0</v>
      </c>
      <c r="L91" s="164">
        <v>2</v>
      </c>
      <c r="M91" s="164">
        <v>0</v>
      </c>
      <c r="N91" s="164">
        <v>0</v>
      </c>
      <c r="O91" s="164">
        <v>1</v>
      </c>
      <c r="P91" s="164">
        <v>0</v>
      </c>
      <c r="Q91" s="164">
        <v>0</v>
      </c>
      <c r="R91" s="164">
        <v>0</v>
      </c>
      <c r="S91" s="252">
        <f>+ROUND((E91+N91)/D91*100,2)</f>
        <v>66.67</v>
      </c>
    </row>
    <row r="92" spans="1:19" s="106" customFormat="1" ht="13.5" customHeight="1" hidden="1">
      <c r="A92" s="480"/>
      <c r="B92" s="293" t="s">
        <v>193</v>
      </c>
      <c r="C92" s="164">
        <v>0</v>
      </c>
      <c r="D92" s="91">
        <f aca="true" t="shared" si="12" ref="D92:D99">+E92+N92+O92+P92+Q92+R92</f>
        <v>0</v>
      </c>
      <c r="E92" s="91">
        <f aca="true" t="shared" si="13" ref="E92:E99">SUM(H92:M92)</f>
        <v>0</v>
      </c>
      <c r="F92" s="164">
        <v>0</v>
      </c>
      <c r="G92" s="164">
        <v>0</v>
      </c>
      <c r="H92" s="164">
        <v>0</v>
      </c>
      <c r="I92" s="164">
        <v>0</v>
      </c>
      <c r="J92" s="164">
        <v>0</v>
      </c>
      <c r="K92" s="164">
        <v>0</v>
      </c>
      <c r="L92" s="164">
        <v>0</v>
      </c>
      <c r="M92" s="164">
        <v>0</v>
      </c>
      <c r="N92" s="164">
        <v>0</v>
      </c>
      <c r="O92" s="164">
        <v>0</v>
      </c>
      <c r="P92" s="164">
        <v>0</v>
      </c>
      <c r="Q92" s="164">
        <v>0</v>
      </c>
      <c r="R92" s="164">
        <v>0</v>
      </c>
      <c r="S92" s="253">
        <v>0</v>
      </c>
    </row>
    <row r="93" spans="1:19" s="106" customFormat="1" ht="13.5" customHeight="1" hidden="1">
      <c r="A93" s="480"/>
      <c r="B93" s="293" t="s">
        <v>203</v>
      </c>
      <c r="C93" s="164">
        <v>0</v>
      </c>
      <c r="D93" s="91">
        <f t="shared" si="12"/>
        <v>0</v>
      </c>
      <c r="E93" s="91">
        <f t="shared" si="13"/>
        <v>0</v>
      </c>
      <c r="F93" s="164">
        <v>0</v>
      </c>
      <c r="G93" s="164">
        <v>0</v>
      </c>
      <c r="H93" s="164">
        <v>0</v>
      </c>
      <c r="I93" s="164">
        <v>0</v>
      </c>
      <c r="J93" s="164">
        <v>0</v>
      </c>
      <c r="K93" s="164">
        <v>0</v>
      </c>
      <c r="L93" s="164">
        <v>0</v>
      </c>
      <c r="M93" s="164">
        <v>0</v>
      </c>
      <c r="N93" s="164">
        <v>0</v>
      </c>
      <c r="O93" s="164">
        <v>0</v>
      </c>
      <c r="P93" s="164">
        <v>0</v>
      </c>
      <c r="Q93" s="164">
        <v>0</v>
      </c>
      <c r="R93" s="164">
        <v>0</v>
      </c>
      <c r="S93" s="252">
        <v>0</v>
      </c>
    </row>
    <row r="94" spans="1:19" s="106" customFormat="1" ht="13.5" customHeight="1" hidden="1">
      <c r="A94" s="480"/>
      <c r="B94" s="293" t="s">
        <v>210</v>
      </c>
      <c r="C94" s="164">
        <v>0</v>
      </c>
      <c r="D94" s="91">
        <f t="shared" si="12"/>
        <v>0</v>
      </c>
      <c r="E94" s="91">
        <f t="shared" si="13"/>
        <v>0</v>
      </c>
      <c r="F94" s="164">
        <v>0</v>
      </c>
      <c r="G94" s="164">
        <v>0</v>
      </c>
      <c r="H94" s="164">
        <v>0</v>
      </c>
      <c r="I94" s="164">
        <v>0</v>
      </c>
      <c r="J94" s="164">
        <v>0</v>
      </c>
      <c r="K94" s="164">
        <v>0</v>
      </c>
      <c r="L94" s="164">
        <v>0</v>
      </c>
      <c r="M94" s="164">
        <v>0</v>
      </c>
      <c r="N94" s="164">
        <v>0</v>
      </c>
      <c r="O94" s="164">
        <v>0</v>
      </c>
      <c r="P94" s="164">
        <v>0</v>
      </c>
      <c r="Q94" s="164">
        <v>0</v>
      </c>
      <c r="R94" s="164">
        <v>0</v>
      </c>
      <c r="S94" s="252">
        <v>0</v>
      </c>
    </row>
    <row r="95" spans="1:19" s="106" customFormat="1" ht="13.5" customHeight="1" hidden="1">
      <c r="A95" s="480"/>
      <c r="B95" s="293" t="s">
        <v>237</v>
      </c>
      <c r="C95" s="164">
        <v>0</v>
      </c>
      <c r="D95" s="91">
        <f t="shared" si="12"/>
        <v>0</v>
      </c>
      <c r="E95" s="91">
        <f t="shared" si="13"/>
        <v>0</v>
      </c>
      <c r="F95" s="164">
        <v>0</v>
      </c>
      <c r="G95" s="164">
        <v>0</v>
      </c>
      <c r="H95" s="164">
        <v>0</v>
      </c>
      <c r="I95" s="164">
        <v>0</v>
      </c>
      <c r="J95" s="164">
        <v>0</v>
      </c>
      <c r="K95" s="164">
        <v>0</v>
      </c>
      <c r="L95" s="164">
        <v>0</v>
      </c>
      <c r="M95" s="164">
        <v>0</v>
      </c>
      <c r="N95" s="164">
        <v>0</v>
      </c>
      <c r="O95" s="164">
        <v>0</v>
      </c>
      <c r="P95" s="164">
        <v>0</v>
      </c>
      <c r="Q95" s="164">
        <v>0</v>
      </c>
      <c r="R95" s="164">
        <v>0</v>
      </c>
      <c r="S95" s="252">
        <v>0</v>
      </c>
    </row>
    <row r="96" spans="1:19" s="106" customFormat="1" ht="13.5" customHeight="1" hidden="1">
      <c r="A96" s="480"/>
      <c r="B96" s="293" t="s">
        <v>249</v>
      </c>
      <c r="C96" s="164">
        <v>0</v>
      </c>
      <c r="D96" s="91">
        <f t="shared" si="12"/>
        <v>0</v>
      </c>
      <c r="E96" s="91">
        <f t="shared" si="13"/>
        <v>0</v>
      </c>
      <c r="F96" s="164">
        <v>0</v>
      </c>
      <c r="G96" s="164">
        <v>0</v>
      </c>
      <c r="H96" s="164">
        <v>0</v>
      </c>
      <c r="I96" s="164">
        <v>0</v>
      </c>
      <c r="J96" s="164">
        <v>0</v>
      </c>
      <c r="K96" s="164">
        <v>0</v>
      </c>
      <c r="L96" s="164">
        <v>0</v>
      </c>
      <c r="M96" s="164">
        <v>0</v>
      </c>
      <c r="N96" s="164">
        <v>0</v>
      </c>
      <c r="O96" s="164">
        <v>0</v>
      </c>
      <c r="P96" s="164">
        <v>0</v>
      </c>
      <c r="Q96" s="164">
        <v>0</v>
      </c>
      <c r="R96" s="164">
        <v>0</v>
      </c>
      <c r="S96" s="164">
        <v>0</v>
      </c>
    </row>
    <row r="97" spans="1:19" s="106" customFormat="1" ht="13.5" customHeight="1" hidden="1">
      <c r="A97" s="480"/>
      <c r="B97" s="293" t="s">
        <v>257</v>
      </c>
      <c r="C97" s="164">
        <v>0</v>
      </c>
      <c r="D97" s="91">
        <f t="shared" si="12"/>
        <v>0</v>
      </c>
      <c r="E97" s="91">
        <f t="shared" si="13"/>
        <v>0</v>
      </c>
      <c r="F97" s="164">
        <v>0</v>
      </c>
      <c r="G97" s="164">
        <v>0</v>
      </c>
      <c r="H97" s="164">
        <v>0</v>
      </c>
      <c r="I97" s="164">
        <v>0</v>
      </c>
      <c r="J97" s="164">
        <v>0</v>
      </c>
      <c r="K97" s="164">
        <v>0</v>
      </c>
      <c r="L97" s="164">
        <v>0</v>
      </c>
      <c r="M97" s="164">
        <v>0</v>
      </c>
      <c r="N97" s="164">
        <v>0</v>
      </c>
      <c r="O97" s="164">
        <v>0</v>
      </c>
      <c r="P97" s="164">
        <v>0</v>
      </c>
      <c r="Q97" s="164">
        <v>0</v>
      </c>
      <c r="R97" s="164">
        <v>0</v>
      </c>
      <c r="S97" s="164">
        <v>0</v>
      </c>
    </row>
    <row r="98" spans="1:19" s="106" customFormat="1" ht="13.5" customHeight="1" hidden="1">
      <c r="A98" s="480"/>
      <c r="B98" s="293" t="s">
        <v>268</v>
      </c>
      <c r="C98" s="164">
        <v>0</v>
      </c>
      <c r="D98" s="91">
        <f t="shared" si="12"/>
        <v>0</v>
      </c>
      <c r="E98" s="91">
        <f t="shared" si="13"/>
        <v>0</v>
      </c>
      <c r="F98" s="164">
        <v>0</v>
      </c>
      <c r="G98" s="164">
        <v>0</v>
      </c>
      <c r="H98" s="164">
        <v>0</v>
      </c>
      <c r="I98" s="164">
        <v>0</v>
      </c>
      <c r="J98" s="164">
        <v>0</v>
      </c>
      <c r="K98" s="164">
        <v>0</v>
      </c>
      <c r="L98" s="164">
        <v>0</v>
      </c>
      <c r="M98" s="164">
        <v>0</v>
      </c>
      <c r="N98" s="164">
        <v>0</v>
      </c>
      <c r="O98" s="164">
        <v>0</v>
      </c>
      <c r="P98" s="164">
        <v>0</v>
      </c>
      <c r="Q98" s="164">
        <v>0</v>
      </c>
      <c r="R98" s="164">
        <v>0</v>
      </c>
      <c r="S98" s="164">
        <v>0</v>
      </c>
    </row>
    <row r="99" spans="1:19" s="106" customFormat="1" ht="13.5" customHeight="1" hidden="1">
      <c r="A99" s="480"/>
      <c r="B99" s="293" t="s">
        <v>275</v>
      </c>
      <c r="C99" s="164">
        <v>0</v>
      </c>
      <c r="D99" s="91">
        <f t="shared" si="12"/>
        <v>0</v>
      </c>
      <c r="E99" s="91">
        <f t="shared" si="13"/>
        <v>0</v>
      </c>
      <c r="F99" s="164">
        <v>0</v>
      </c>
      <c r="G99" s="164">
        <v>0</v>
      </c>
      <c r="H99" s="164">
        <v>0</v>
      </c>
      <c r="I99" s="164">
        <v>0</v>
      </c>
      <c r="J99" s="164">
        <v>0</v>
      </c>
      <c r="K99" s="164">
        <v>0</v>
      </c>
      <c r="L99" s="164">
        <v>0</v>
      </c>
      <c r="M99" s="164">
        <v>0</v>
      </c>
      <c r="N99" s="164">
        <v>0</v>
      </c>
      <c r="O99" s="164">
        <v>0</v>
      </c>
      <c r="P99" s="164">
        <v>0</v>
      </c>
      <c r="Q99" s="164">
        <v>0</v>
      </c>
      <c r="R99" s="164">
        <v>0</v>
      </c>
      <c r="S99" s="164">
        <v>0</v>
      </c>
    </row>
    <row r="100" spans="1:19" s="106" customFormat="1" ht="13.5" customHeight="1">
      <c r="A100" s="480"/>
      <c r="B100" s="293" t="s">
        <v>303</v>
      </c>
      <c r="C100" s="169">
        <v>1</v>
      </c>
      <c r="D100" s="91">
        <f>+E100+N100+O100+P100+Q100+R100</f>
        <v>0</v>
      </c>
      <c r="E100" s="91">
        <f>SUM(H100:M100)</f>
        <v>0</v>
      </c>
      <c r="F100" s="97">
        <v>0</v>
      </c>
      <c r="G100" s="97">
        <v>0</v>
      </c>
      <c r="H100" s="97">
        <v>0</v>
      </c>
      <c r="I100" s="97">
        <v>0</v>
      </c>
      <c r="J100" s="97">
        <v>0</v>
      </c>
      <c r="K100" s="97">
        <v>0</v>
      </c>
      <c r="L100" s="164">
        <v>0</v>
      </c>
      <c r="M100" s="164">
        <v>0</v>
      </c>
      <c r="N100" s="164">
        <v>0</v>
      </c>
      <c r="O100" s="164">
        <v>0</v>
      </c>
      <c r="P100" s="97">
        <v>0</v>
      </c>
      <c r="Q100" s="97">
        <v>0</v>
      </c>
      <c r="R100" s="97">
        <v>0</v>
      </c>
      <c r="S100" s="97">
        <v>0</v>
      </c>
    </row>
    <row r="101" spans="1:19" s="106" customFormat="1" ht="13.5" customHeight="1">
      <c r="A101" s="480"/>
      <c r="B101" s="293" t="s">
        <v>313</v>
      </c>
      <c r="C101" s="97">
        <v>0</v>
      </c>
      <c r="D101" s="91">
        <f>+E101+N101+O101+P101+Q101+R101</f>
        <v>0</v>
      </c>
      <c r="E101" s="91">
        <f>SUM(H101:M101)</f>
        <v>0</v>
      </c>
      <c r="F101" s="97">
        <v>0</v>
      </c>
      <c r="G101" s="97">
        <v>0</v>
      </c>
      <c r="H101" s="97">
        <v>0</v>
      </c>
      <c r="I101" s="97">
        <v>0</v>
      </c>
      <c r="J101" s="97">
        <v>0</v>
      </c>
      <c r="K101" s="97">
        <v>0</v>
      </c>
      <c r="L101" s="97">
        <v>0</v>
      </c>
      <c r="M101" s="97">
        <v>0</v>
      </c>
      <c r="N101" s="97">
        <v>0</v>
      </c>
      <c r="O101" s="97">
        <v>0</v>
      </c>
      <c r="P101" s="97">
        <v>0</v>
      </c>
      <c r="Q101" s="97">
        <v>0</v>
      </c>
      <c r="R101" s="97">
        <v>0</v>
      </c>
      <c r="S101" s="97">
        <v>0</v>
      </c>
    </row>
    <row r="102" spans="1:19" s="106" customFormat="1" ht="13.5" customHeight="1">
      <c r="A102" s="480"/>
      <c r="B102" s="293" t="s">
        <v>321</v>
      </c>
      <c r="C102" s="97">
        <v>0</v>
      </c>
      <c r="D102" s="91">
        <f>+E102+N102+O102+P102+Q102+R102</f>
        <v>0</v>
      </c>
      <c r="E102" s="91">
        <f>SUM(H102:M102)</f>
        <v>0</v>
      </c>
      <c r="F102" s="97">
        <v>0</v>
      </c>
      <c r="G102" s="97">
        <v>0</v>
      </c>
      <c r="H102" s="97">
        <v>0</v>
      </c>
      <c r="I102" s="97">
        <v>0</v>
      </c>
      <c r="J102" s="97">
        <v>0</v>
      </c>
      <c r="K102" s="97">
        <v>0</v>
      </c>
      <c r="L102" s="97">
        <v>0</v>
      </c>
      <c r="M102" s="97">
        <v>0</v>
      </c>
      <c r="N102" s="97">
        <v>0</v>
      </c>
      <c r="O102" s="97">
        <v>0</v>
      </c>
      <c r="P102" s="97">
        <v>0</v>
      </c>
      <c r="Q102" s="97">
        <v>0</v>
      </c>
      <c r="R102" s="97">
        <v>0</v>
      </c>
      <c r="S102" s="97">
        <v>0</v>
      </c>
    </row>
    <row r="103" spans="1:19" s="106" customFormat="1" ht="13.5" customHeight="1">
      <c r="A103" s="480"/>
      <c r="B103" s="293" t="s">
        <v>329</v>
      </c>
      <c r="C103" s="97">
        <v>1</v>
      </c>
      <c r="D103" s="91">
        <f>+E103+N103+O103+P103+Q103+R103</f>
        <v>0</v>
      </c>
      <c r="E103" s="91">
        <f>SUM(H103:M103)</f>
        <v>0</v>
      </c>
      <c r="F103" s="97">
        <v>0</v>
      </c>
      <c r="G103" s="97">
        <v>0</v>
      </c>
      <c r="H103" s="97">
        <v>0</v>
      </c>
      <c r="I103" s="97">
        <v>0</v>
      </c>
      <c r="J103" s="97">
        <v>0</v>
      </c>
      <c r="K103" s="97">
        <v>0</v>
      </c>
      <c r="L103" s="97">
        <v>0</v>
      </c>
      <c r="M103" s="97">
        <v>0</v>
      </c>
      <c r="N103" s="97">
        <v>0</v>
      </c>
      <c r="O103" s="97">
        <v>0</v>
      </c>
      <c r="P103" s="97">
        <v>0</v>
      </c>
      <c r="Q103" s="97">
        <v>0</v>
      </c>
      <c r="R103" s="97">
        <v>0</v>
      </c>
      <c r="S103" s="97">
        <v>0</v>
      </c>
    </row>
    <row r="104" spans="1:20" s="106" customFormat="1" ht="13.5" customHeight="1" thickBot="1">
      <c r="A104" s="481"/>
      <c r="B104" s="320" t="s">
        <v>361</v>
      </c>
      <c r="C104" s="310">
        <v>0</v>
      </c>
      <c r="D104" s="304">
        <f>+E104+N104+O104+P104+Q104+R104</f>
        <v>0</v>
      </c>
      <c r="E104" s="304">
        <f>SUM(H104:M104)</f>
        <v>0</v>
      </c>
      <c r="F104" s="304">
        <v>0</v>
      </c>
      <c r="G104" s="304">
        <v>0</v>
      </c>
      <c r="H104" s="304">
        <v>0</v>
      </c>
      <c r="I104" s="304">
        <v>0</v>
      </c>
      <c r="J104" s="304">
        <v>0</v>
      </c>
      <c r="K104" s="304">
        <v>0</v>
      </c>
      <c r="L104" s="304">
        <v>0</v>
      </c>
      <c r="M104" s="304">
        <v>0</v>
      </c>
      <c r="N104" s="304">
        <v>0</v>
      </c>
      <c r="O104" s="304">
        <v>0</v>
      </c>
      <c r="P104" s="304">
        <v>0</v>
      </c>
      <c r="Q104" s="304">
        <v>0</v>
      </c>
      <c r="R104" s="304">
        <v>0</v>
      </c>
      <c r="S104" s="304">
        <v>0</v>
      </c>
      <c r="T104" s="295" t="e">
        <f>S101-#REF!</f>
        <v>#REF!</v>
      </c>
    </row>
    <row r="105" spans="1:2" s="32" customFormat="1" ht="10.5" customHeight="1">
      <c r="A105" s="35"/>
      <c r="B105" s="35" t="s">
        <v>270</v>
      </c>
    </row>
    <row r="106" spans="1:2" s="32" customFormat="1" ht="12.75" customHeight="1">
      <c r="A106" s="35"/>
      <c r="B106" s="171" t="s">
        <v>341</v>
      </c>
    </row>
    <row r="107" ht="12.75" customHeight="1">
      <c r="B107" s="36" t="s">
        <v>342</v>
      </c>
    </row>
    <row r="108" ht="16.5">
      <c r="G108" s="272"/>
    </row>
    <row r="109" ht="16.5">
      <c r="C109" s="267"/>
    </row>
    <row r="114" spans="2:19" ht="16.5">
      <c r="B114" s="41" t="str">
        <f>+B78</f>
        <v>    民國101年</v>
      </c>
      <c r="C114" s="174" t="e">
        <f>#REF!+#REF!+C57+C98+C79+'3-判決確定 (2)'!C29+'3-判決確定 (2)'!C50+'3-判決確定 (2)'!C71+'3-判決確定 (2)'!C91+'3-判決確定 (2)'!C110</f>
        <v>#REF!</v>
      </c>
      <c r="D114" s="174" t="e">
        <f>#REF!+#REF!+D57+D98+D79+'3-判決確定 (2)'!D29+'3-判決確定 (2)'!D50+'3-判決確定 (2)'!D71+'3-判決確定 (2)'!D91+'3-判決確定 (2)'!D110</f>
        <v>#REF!</v>
      </c>
      <c r="E114" s="174" t="e">
        <f>#REF!+#REF!+E57+E98+E79+'3-判決確定 (2)'!E29+'3-判決確定 (2)'!E50+'3-判決確定 (2)'!E71+'3-判決確定 (2)'!E91+'3-判決確定 (2)'!E110</f>
        <v>#REF!</v>
      </c>
      <c r="F114" s="174" t="e">
        <f>#REF!+#REF!+F57+F98+F79+'3-判決確定 (2)'!F29+'3-判決確定 (2)'!F50+'3-判決確定 (2)'!F71+'3-判決確定 (2)'!F91+'3-判決確定 (2)'!F110</f>
        <v>#REF!</v>
      </c>
      <c r="G114" s="174" t="e">
        <f>#REF!+#REF!+G57+G98+G79+'3-判決確定 (2)'!G29+'3-判決確定 (2)'!G50+'3-判決確定 (2)'!G71+'3-判決確定 (2)'!G91+'3-判決確定 (2)'!G110</f>
        <v>#REF!</v>
      </c>
      <c r="H114" s="174" t="e">
        <f>#REF!+#REF!+H57+H98+H79+'3-判決確定 (2)'!H29+'3-判決確定 (2)'!H50+'3-判決確定 (2)'!H71+'3-判決確定 (2)'!H91+'3-判決確定 (2)'!H110</f>
        <v>#REF!</v>
      </c>
      <c r="I114" s="174" t="e">
        <f>#REF!+#REF!+I57+I98+I79+'3-判決確定 (2)'!I29+'3-判決確定 (2)'!I50+'3-判決確定 (2)'!I71+'3-判決確定 (2)'!I91+'3-判決確定 (2)'!I110</f>
        <v>#REF!</v>
      </c>
      <c r="J114" s="174" t="e">
        <f>#REF!+#REF!+J57+J98+J79+'3-判決確定 (2)'!J29+'3-判決確定 (2)'!J50+'3-判決確定 (2)'!J71+'3-判決確定 (2)'!J91+'3-判決確定 (2)'!J110</f>
        <v>#REF!</v>
      </c>
      <c r="K114" s="174" t="e">
        <f>#REF!+#REF!+K57+K98+K79+'3-判決確定 (2)'!K29+'3-判決確定 (2)'!K50+'3-判決確定 (2)'!K71+'3-判決確定 (2)'!K91+'3-判決確定 (2)'!K110</f>
        <v>#REF!</v>
      </c>
      <c r="L114" s="174" t="e">
        <f>#REF!+#REF!+L57+L98+L79+'3-判決確定 (2)'!L29+'3-判決確定 (2)'!L50+'3-判決確定 (2)'!L71+'3-判決確定 (2)'!L91+'3-判決確定 (2)'!L110</f>
        <v>#REF!</v>
      </c>
      <c r="M114" s="174" t="e">
        <f>#REF!+#REF!+M57+M98+M79+'3-判決確定 (2)'!M29+'3-判決確定 (2)'!M50+'3-判決確定 (2)'!M71+'3-判決確定 (2)'!M91+'3-判決確定 (2)'!M110</f>
        <v>#REF!</v>
      </c>
      <c r="N114" s="174" t="e">
        <f>#REF!+#REF!+N57+N98+N79+'3-判決確定 (2)'!N29+'3-判決確定 (2)'!N50+'3-判決確定 (2)'!N71+'3-判決確定 (2)'!N91+'3-判決確定 (2)'!N110</f>
        <v>#REF!</v>
      </c>
      <c r="O114" s="174" t="e">
        <f>#REF!+#REF!+O57+O98+O79+'3-判決確定 (2)'!O29+'3-判決確定 (2)'!O50+'3-判決確定 (2)'!O71+'3-判決確定 (2)'!O91+'3-判決確定 (2)'!O110</f>
        <v>#REF!</v>
      </c>
      <c r="P114" s="174" t="e">
        <f>#REF!+#REF!+P57+P98+P79+'3-判決確定 (2)'!P29+'3-判決確定 (2)'!P50+'3-判決確定 (2)'!P71+'3-判決確定 (2)'!P91+'3-判決確定 (2)'!P110</f>
        <v>#REF!</v>
      </c>
      <c r="Q114" s="174" t="e">
        <f>#REF!+#REF!+Q57+Q98+Q79+'3-判決確定 (2)'!Q29+'3-判決確定 (2)'!Q50+'3-判決確定 (2)'!Q71+'3-判決確定 (2)'!Q91+'3-判決確定 (2)'!Q110</f>
        <v>#REF!</v>
      </c>
      <c r="R114" s="174" t="e">
        <f>#REF!+#REF!+R57+R98+R79+'3-判決確定 (2)'!R29+'3-判決確定 (2)'!R50+'3-判決確定 (2)'!R71+'3-判決確定 (2)'!R91+'3-判決確定 (2)'!R110</f>
        <v>#REF!</v>
      </c>
      <c r="S114" s="267"/>
    </row>
    <row r="115" spans="2:19" ht="16.5">
      <c r="B115" s="41" t="str">
        <f>+B79</f>
        <v>    民國102年</v>
      </c>
      <c r="C115" s="174" t="e">
        <f>#REF!+#REF!+C58+C99+#REF!+'3-判決確定 (2)'!C30+'3-判決確定 (2)'!C51+'3-判決確定 (2)'!C72+'3-判決確定 (2)'!C92+'3-判決確定 (2)'!C111</f>
        <v>#REF!</v>
      </c>
      <c r="D115" s="174" t="e">
        <f>#REF!+#REF!+D58+D99+#REF!+'3-判決確定 (2)'!D30+'3-判決確定 (2)'!D51+'3-判決確定 (2)'!D72+'3-判決確定 (2)'!D92+'3-判決確定 (2)'!D111</f>
        <v>#REF!</v>
      </c>
      <c r="E115" s="174" t="e">
        <f>#REF!+#REF!+E58+E99+#REF!+'3-判決確定 (2)'!E30+'3-判決確定 (2)'!E51+'3-判決確定 (2)'!E72+'3-判決確定 (2)'!E92+'3-判決確定 (2)'!E111</f>
        <v>#REF!</v>
      </c>
      <c r="F115" s="174" t="e">
        <f>#REF!+#REF!+F58+F99+#REF!+'3-判決確定 (2)'!F30+'3-判決確定 (2)'!F51+'3-判決確定 (2)'!F72+'3-判決確定 (2)'!F92+'3-判決確定 (2)'!F111</f>
        <v>#REF!</v>
      </c>
      <c r="G115" s="174" t="e">
        <f>#REF!+#REF!+G58+G99+#REF!+'3-判決確定 (2)'!G30+'3-判決確定 (2)'!G51+'3-判決確定 (2)'!G72+'3-判決確定 (2)'!G92+'3-判決確定 (2)'!G111</f>
        <v>#REF!</v>
      </c>
      <c r="H115" s="174" t="e">
        <f>#REF!+#REF!+H58+H99+#REF!+'3-判決確定 (2)'!H30+'3-判決確定 (2)'!H51+'3-判決確定 (2)'!H72+'3-判決確定 (2)'!H92+'3-判決確定 (2)'!H111</f>
        <v>#REF!</v>
      </c>
      <c r="I115" s="174" t="e">
        <f>#REF!+#REF!+I58+I99+#REF!+'3-判決確定 (2)'!I30+'3-判決確定 (2)'!I51+'3-判決確定 (2)'!I72+'3-判決確定 (2)'!I92+'3-判決確定 (2)'!I111</f>
        <v>#REF!</v>
      </c>
      <c r="J115" s="174" t="e">
        <f>#REF!+#REF!+J58+J99+#REF!+'3-判決確定 (2)'!J30+'3-判決確定 (2)'!J51+'3-判決確定 (2)'!J72+'3-判決確定 (2)'!J92+'3-判決確定 (2)'!J111</f>
        <v>#REF!</v>
      </c>
      <c r="K115" s="174" t="e">
        <f>#REF!+#REF!+K58+K99+#REF!+'3-判決確定 (2)'!K30+'3-判決確定 (2)'!K51+'3-判決確定 (2)'!K72+'3-判決確定 (2)'!K92+'3-判決確定 (2)'!K111</f>
        <v>#REF!</v>
      </c>
      <c r="L115" s="174" t="e">
        <f>#REF!+#REF!+L58+L99+#REF!+'3-判決確定 (2)'!L30+'3-判決確定 (2)'!L51+'3-判決確定 (2)'!L72+'3-判決確定 (2)'!L92+'3-判決確定 (2)'!L111</f>
        <v>#REF!</v>
      </c>
      <c r="M115" s="174" t="e">
        <f>#REF!+#REF!+M58+M99+#REF!+'3-判決確定 (2)'!M30+'3-判決確定 (2)'!M51+'3-判決確定 (2)'!M72+'3-判決確定 (2)'!M92+'3-判決確定 (2)'!M111</f>
        <v>#REF!</v>
      </c>
      <c r="N115" s="174" t="e">
        <f>#REF!+#REF!+N58+N99+#REF!+'3-判決確定 (2)'!N30+'3-判決確定 (2)'!N51+'3-判決確定 (2)'!N72+'3-判決確定 (2)'!N92+'3-判決確定 (2)'!N111</f>
        <v>#REF!</v>
      </c>
      <c r="O115" s="174" t="e">
        <f>#REF!+#REF!+O58+O99+#REF!+'3-判決確定 (2)'!O30+'3-判決確定 (2)'!O51+'3-判決確定 (2)'!O72+'3-判決確定 (2)'!O92+'3-判決確定 (2)'!O111</f>
        <v>#REF!</v>
      </c>
      <c r="P115" s="174" t="e">
        <f>#REF!+#REF!+P58+P99+#REF!+'3-判決確定 (2)'!P30+'3-判決確定 (2)'!P51+'3-判決確定 (2)'!P72+'3-判決確定 (2)'!P92+'3-判決確定 (2)'!P111</f>
        <v>#REF!</v>
      </c>
      <c r="Q115" s="174" t="e">
        <f>#REF!+#REF!+Q58+Q99+#REF!+'3-判決確定 (2)'!Q30+'3-判決確定 (2)'!Q51+'3-判決確定 (2)'!Q72+'3-判決確定 (2)'!Q92+'3-判決確定 (2)'!Q111</f>
        <v>#REF!</v>
      </c>
      <c r="R115" s="174" t="e">
        <f>#REF!+#REF!+R58+R99+#REF!+'3-判決確定 (2)'!R30+'3-判決確定 (2)'!R51+'3-判決確定 (2)'!R72+'3-判決確定 (2)'!R92+'3-判決確定 (2)'!R111</f>
        <v>#REF!</v>
      </c>
      <c r="S115" s="174"/>
    </row>
    <row r="116" spans="2:18" ht="16.5">
      <c r="B116" s="41" t="e">
        <f>+#REF!</f>
        <v>#REF!</v>
      </c>
      <c r="C116" s="174" t="e">
        <f>#REF!+#REF!+#REF!+#REF!+#REF!+'3-判決確定 (2)'!#REF!+'3-判決確定 (2)'!#REF!+'3-判決確定 (2)'!#REF!+'3-判決確定 (2)'!C93+'3-判決確定 (2)'!#REF!</f>
        <v>#REF!</v>
      </c>
      <c r="D116" s="174" t="e">
        <f>#REF!+#REF!+#REF!+#REF!+#REF!+'3-判決確定 (2)'!#REF!+'3-判決確定 (2)'!#REF!+'3-判決確定 (2)'!#REF!+'3-判決確定 (2)'!D93+'3-判決確定 (2)'!#REF!</f>
        <v>#REF!</v>
      </c>
      <c r="E116" s="174" t="e">
        <f>#REF!+#REF!+#REF!+#REF!+#REF!+'3-判決確定 (2)'!#REF!+'3-判決確定 (2)'!#REF!+'3-判決確定 (2)'!#REF!+'3-判決確定 (2)'!E93+'3-判決確定 (2)'!#REF!</f>
        <v>#REF!</v>
      </c>
      <c r="F116" s="174" t="e">
        <f>#REF!+#REF!+#REF!+#REF!+#REF!+'3-判決確定 (2)'!#REF!+'3-判決確定 (2)'!#REF!+'3-判決確定 (2)'!#REF!+'3-判決確定 (2)'!F93+'3-判決確定 (2)'!#REF!</f>
        <v>#REF!</v>
      </c>
      <c r="G116" s="174" t="e">
        <f>#REF!+#REF!+#REF!+#REF!+#REF!+'3-判決確定 (2)'!#REF!+'3-判決確定 (2)'!#REF!+'3-判決確定 (2)'!#REF!+'3-判決確定 (2)'!G93+'3-判決確定 (2)'!#REF!</f>
        <v>#REF!</v>
      </c>
      <c r="H116" s="174" t="e">
        <f>#REF!+#REF!+#REF!+#REF!+#REF!+'3-判決確定 (2)'!#REF!+'3-判決確定 (2)'!#REF!+'3-判決確定 (2)'!#REF!+'3-判決確定 (2)'!H93+'3-判決確定 (2)'!#REF!</f>
        <v>#REF!</v>
      </c>
      <c r="I116" s="174" t="e">
        <f>#REF!+#REF!+#REF!+#REF!+#REF!+'3-判決確定 (2)'!#REF!+'3-判決確定 (2)'!#REF!+'3-判決確定 (2)'!#REF!+'3-判決確定 (2)'!I93+'3-判決確定 (2)'!#REF!</f>
        <v>#REF!</v>
      </c>
      <c r="J116" s="174" t="e">
        <f>#REF!+#REF!+#REF!+#REF!+#REF!+'3-判決確定 (2)'!#REF!+'3-判決確定 (2)'!#REF!+'3-判決確定 (2)'!#REF!+'3-判決確定 (2)'!J93+'3-判決確定 (2)'!#REF!</f>
        <v>#REF!</v>
      </c>
      <c r="K116" s="174" t="e">
        <f>#REF!+#REF!+#REF!+#REF!+#REF!+'3-判決確定 (2)'!#REF!+'3-判決確定 (2)'!#REF!+'3-判決確定 (2)'!#REF!+'3-判決確定 (2)'!K93+'3-判決確定 (2)'!#REF!</f>
        <v>#REF!</v>
      </c>
      <c r="L116" s="174" t="e">
        <f>#REF!+#REF!+#REF!+#REF!+#REF!+'3-判決確定 (2)'!#REF!+'3-判決確定 (2)'!#REF!+'3-判決確定 (2)'!#REF!+'3-判決確定 (2)'!L93+'3-判決確定 (2)'!#REF!</f>
        <v>#REF!</v>
      </c>
      <c r="M116" s="174" t="e">
        <f>#REF!+#REF!+#REF!+#REF!+#REF!+'3-判決確定 (2)'!#REF!+'3-判決確定 (2)'!#REF!+'3-判決確定 (2)'!#REF!+'3-判決確定 (2)'!M93+'3-判決確定 (2)'!#REF!</f>
        <v>#REF!</v>
      </c>
      <c r="N116" s="174" t="e">
        <f>#REF!+#REF!+#REF!+#REF!+#REF!+'3-判決確定 (2)'!#REF!+'3-判決確定 (2)'!#REF!+'3-判決確定 (2)'!#REF!+'3-判決確定 (2)'!N93+'3-判決確定 (2)'!#REF!</f>
        <v>#REF!</v>
      </c>
      <c r="O116" s="174" t="e">
        <f>#REF!+#REF!+#REF!+#REF!+#REF!+'3-判決確定 (2)'!#REF!+'3-判決確定 (2)'!#REF!+'3-判決確定 (2)'!#REF!+'3-判決確定 (2)'!O93+'3-判決確定 (2)'!#REF!</f>
        <v>#REF!</v>
      </c>
      <c r="P116" s="174" t="e">
        <f>#REF!+#REF!+#REF!+#REF!+#REF!+'3-判決確定 (2)'!#REF!+'3-判決確定 (2)'!#REF!+'3-判決確定 (2)'!#REF!+'3-判決確定 (2)'!P93+'3-判決確定 (2)'!#REF!</f>
        <v>#REF!</v>
      </c>
      <c r="Q116" s="174" t="e">
        <f>#REF!+#REF!+#REF!+#REF!+#REF!+'3-判決確定 (2)'!#REF!+'3-判決確定 (2)'!#REF!+'3-判決確定 (2)'!#REF!+'3-判決確定 (2)'!Q93+'3-判決確定 (2)'!#REF!</f>
        <v>#REF!</v>
      </c>
      <c r="R116" s="174" t="e">
        <f>#REF!+#REF!+#REF!+#REF!+#REF!+'3-判決確定 (2)'!#REF!+'3-判決確定 (2)'!#REF!+'3-判決確定 (2)'!#REF!+'3-判決確定 (2)'!R93+'3-判決確定 (2)'!#REF!</f>
        <v>#REF!</v>
      </c>
    </row>
    <row r="117" spans="2:18" ht="16.5">
      <c r="B117" s="41" t="e">
        <f>+#REF!</f>
        <v>#REF!</v>
      </c>
      <c r="C117" s="174">
        <f>C27+C38+C60+C100+C80+'3-判決確定 (2)'!C31+'3-判決確定 (2)'!C52+'3-判決確定 (2)'!C73+'3-判決確定 (2)'!C94+'3-判決確定 (2)'!C112</f>
        <v>329</v>
      </c>
      <c r="D117" s="174">
        <f>D27+D38+D60+D100+D80+'3-判決確定 (2)'!D31+'3-判決確定 (2)'!D52+'3-判決確定 (2)'!D73+'3-判決確定 (2)'!D94+'3-判決確定 (2)'!D112</f>
        <v>518</v>
      </c>
      <c r="E117" s="174">
        <f>E27+E38+E60+E100+E80+'3-判決確定 (2)'!E31+'3-判決確定 (2)'!E52+'3-判決確定 (2)'!E73+'3-判決確定 (2)'!E94+'3-判決確定 (2)'!E112</f>
        <v>431</v>
      </c>
      <c r="F117" s="174">
        <f>F27+F38+F60+F100+F80+'3-判決確定 (2)'!F31+'3-判決確定 (2)'!F52+'3-判決確定 (2)'!F73+'3-判決確定 (2)'!F94+'3-判決確定 (2)'!F112</f>
        <v>0</v>
      </c>
      <c r="G117" s="174">
        <f>G27+G38+G60+G100+G80+'3-判決確定 (2)'!G31+'3-判決確定 (2)'!G52+'3-判決確定 (2)'!G73+'3-判決確定 (2)'!G94+'3-判決確定 (2)'!G112</f>
        <v>0</v>
      </c>
      <c r="H117" s="174">
        <f>H27+H38+H60+H100+H80+'3-判決確定 (2)'!H31+'3-判決確定 (2)'!H52+'3-判決確定 (2)'!H73+'3-判決確定 (2)'!H94+'3-判決確定 (2)'!H112</f>
        <v>87</v>
      </c>
      <c r="I117" s="174">
        <f>I27+I38+I60+I100+I80+'3-判決確定 (2)'!I31+'3-判決確定 (2)'!I52+'3-判決確定 (2)'!I73+'3-判決確定 (2)'!I94+'3-判決確定 (2)'!I112</f>
        <v>252</v>
      </c>
      <c r="J117" s="174">
        <f>J27+J38+J60+J100+J80+'3-判決確定 (2)'!J31+'3-判決確定 (2)'!J52+'3-判決確定 (2)'!J73+'3-判決確定 (2)'!J94+'3-判決確定 (2)'!J112</f>
        <v>15</v>
      </c>
      <c r="K117" s="174">
        <f>K27+K38+K60+K100+K80+'3-判決確定 (2)'!K31+'3-判決確定 (2)'!K52+'3-判決確定 (2)'!K73+'3-判決確定 (2)'!K94+'3-判決確定 (2)'!K112</f>
        <v>3</v>
      </c>
      <c r="L117" s="174">
        <f>L27+L38+L60+L100+L80+'3-判決確定 (2)'!L31+'3-判決確定 (2)'!L52+'3-判決確定 (2)'!L73+'3-判決確定 (2)'!L94+'3-判決確定 (2)'!L112</f>
        <v>10</v>
      </c>
      <c r="M117" s="174">
        <f>M27+M38+M60+M100+M80+'3-判決確定 (2)'!M31+'3-判決確定 (2)'!M52+'3-判決確定 (2)'!M73+'3-判決確定 (2)'!M94+'3-判決確定 (2)'!M112</f>
        <v>64</v>
      </c>
      <c r="N117" s="174">
        <f>N27+N38+N60+N100+N80+'3-判決確定 (2)'!N31+'3-判決確定 (2)'!N52+'3-判決確定 (2)'!N73+'3-判決確定 (2)'!N94+'3-判決確定 (2)'!N112</f>
        <v>0</v>
      </c>
      <c r="O117" s="174">
        <f>O27+O38+O60+O100+O80+'3-判決確定 (2)'!O31+'3-判決確定 (2)'!O52+'3-判決確定 (2)'!O73+'3-判決確定 (2)'!O94+'3-判決確定 (2)'!O112</f>
        <v>72</v>
      </c>
      <c r="P117" s="174">
        <f>P27+P38+P60+P100+P80+'3-判決確定 (2)'!P31+'3-判決確定 (2)'!P52+'3-判決確定 (2)'!P73+'3-判決確定 (2)'!P94+'3-判決確定 (2)'!P112</f>
        <v>8</v>
      </c>
      <c r="Q117" s="174">
        <f>Q27+Q38+Q60+Q100+Q80+'3-判決確定 (2)'!Q31+'3-判決確定 (2)'!Q52+'3-判決確定 (2)'!Q73+'3-判決確定 (2)'!Q94+'3-判決確定 (2)'!Q112</f>
        <v>7</v>
      </c>
      <c r="R117" s="174">
        <f>R27+R38+R60+R100+R80+'3-判決確定 (2)'!R31+'3-判決確定 (2)'!R52+'3-判決確定 (2)'!R73+'3-判決確定 (2)'!R94+'3-判決確定 (2)'!R112</f>
        <v>0</v>
      </c>
    </row>
    <row r="118" spans="2:18" ht="16.5">
      <c r="B118" s="41" t="str">
        <f>+B101</f>
        <v>    民國106年</v>
      </c>
      <c r="C118" s="174">
        <f>C28+C39+C61+C101+C81+'3-判決確定 (2)'!C32+'3-判決確定 (2)'!C53+'3-判決確定 (2)'!C74+'3-判決確定 (2)'!C95+'3-判決確定 (2)'!C113</f>
        <v>382</v>
      </c>
      <c r="D118" s="174">
        <f>D28+D39+D61+D101+D81+'3-判決確定 (2)'!D32+'3-判決確定 (2)'!D53+'3-判決確定 (2)'!D74+'3-判決確定 (2)'!D95+'3-判決確定 (2)'!D113</f>
        <v>576</v>
      </c>
      <c r="E118" s="174">
        <f>E28+E39+E61+E101+E81+'3-判決確定 (2)'!E32+'3-判決確定 (2)'!E53+'3-判決確定 (2)'!E74+'3-判決確定 (2)'!E95+'3-判決確定 (2)'!E113</f>
        <v>500</v>
      </c>
      <c r="F118" s="174">
        <f>F28+F39+F61+F101+F81+'3-判決確定 (2)'!F32+'3-判決確定 (2)'!F53+'3-判決確定 (2)'!F74+'3-判決確定 (2)'!F95+'3-判決確定 (2)'!F113</f>
        <v>0</v>
      </c>
      <c r="G118" s="174">
        <f>G28+G39+G61+G101+G81+'3-判決確定 (2)'!G32+'3-判決確定 (2)'!G53+'3-判決確定 (2)'!G74+'3-判決確定 (2)'!G95+'3-判決確定 (2)'!G113</f>
        <v>0</v>
      </c>
      <c r="H118" s="174">
        <f>H28+H39+H61+H101+H81+'3-判決確定 (2)'!H32+'3-判決確定 (2)'!H53+'3-判決確定 (2)'!H74+'3-判決確定 (2)'!H95+'3-判決確定 (2)'!H113</f>
        <v>101</v>
      </c>
      <c r="I118" s="174">
        <f>I28+I39+I61+I101+I81+'3-判決確定 (2)'!I32+'3-判決確定 (2)'!I53+'3-判決確定 (2)'!I74+'3-判決確定 (2)'!I95+'3-判決確定 (2)'!I113</f>
        <v>278</v>
      </c>
      <c r="J118" s="174">
        <f>J28+J39+J61+J101+J81+'3-判決確定 (2)'!J32+'3-判決確定 (2)'!J53+'3-判決確定 (2)'!J74+'3-判決確定 (2)'!J95+'3-判決確定 (2)'!J113</f>
        <v>27</v>
      </c>
      <c r="K118" s="174">
        <f>K28+K39+K61+K101+K81+'3-判決確定 (2)'!K32+'3-判決確定 (2)'!K53+'3-判決確定 (2)'!K74+'3-判決確定 (2)'!K95+'3-判決確定 (2)'!K113</f>
        <v>3</v>
      </c>
      <c r="L118" s="174">
        <f>L28+L39+L61+L101+L81+'3-判決確定 (2)'!L32+'3-判決確定 (2)'!L53+'3-判決確定 (2)'!L74+'3-判決確定 (2)'!L95+'3-判決確定 (2)'!L113</f>
        <v>17</v>
      </c>
      <c r="M118" s="174">
        <f>M28+M39+M61+M101+M81+'3-判決確定 (2)'!M32+'3-判決確定 (2)'!M53+'3-判決確定 (2)'!M74+'3-判決確定 (2)'!M95+'3-判決確定 (2)'!M113</f>
        <v>74</v>
      </c>
      <c r="N118" s="174">
        <f>N28+N39+N61+N101+N81+'3-判決確定 (2)'!N32+'3-判決確定 (2)'!N53+'3-判決確定 (2)'!N74+'3-判決確定 (2)'!N95+'3-判決確定 (2)'!N113</f>
        <v>0</v>
      </c>
      <c r="O118" s="174">
        <f>O28+O39+O61+O101+O81+'3-判決確定 (2)'!O32+'3-判決確定 (2)'!O53+'3-判決確定 (2)'!O74+'3-判決確定 (2)'!O95+'3-判決確定 (2)'!O113</f>
        <v>47</v>
      </c>
      <c r="P118" s="174">
        <f>P28+P39+P61+P101+P81+'3-判決確定 (2)'!P32+'3-判決確定 (2)'!P53+'3-判決確定 (2)'!P74+'3-判決確定 (2)'!P95+'3-判決確定 (2)'!P113</f>
        <v>3</v>
      </c>
      <c r="Q118" s="174">
        <f>Q28+Q39+Q61+Q101+Q81+'3-判決確定 (2)'!Q32+'3-判決確定 (2)'!Q53+'3-判決確定 (2)'!Q74+'3-判決確定 (2)'!Q95+'3-判決確定 (2)'!Q113</f>
        <v>24</v>
      </c>
      <c r="R118" s="174">
        <f>R28+R39+R61+R101+R81+'3-判決確定 (2)'!R32+'3-判決確定 (2)'!R53+'3-判決確定 (2)'!R74+'3-判決確定 (2)'!R95+'3-判決確定 (2)'!R113</f>
        <v>2</v>
      </c>
    </row>
    <row r="119" spans="2:18" ht="16.5">
      <c r="B119" s="41" t="str">
        <f>+B102</f>
        <v>    民國107年</v>
      </c>
      <c r="C119" s="174">
        <f>C29+C40+C62+C104+C82+'3-判決確定 (2)'!C33+'3-判決確定 (2)'!C54+'3-判決確定 (2)'!C75+'3-判決確定 (2)'!C96+'3-判決確定 (2)'!C116</f>
        <v>414</v>
      </c>
      <c r="D119" s="174">
        <f>D29+D40+D62+D104+D82+'3-判決確定 (2)'!D33+'3-判決確定 (2)'!D54+'3-判決確定 (2)'!D75+'3-判決確定 (2)'!D96+'3-判決確定 (2)'!D116</f>
        <v>653</v>
      </c>
      <c r="E119" s="174">
        <f>E29+E40+E62+E104+E82+'3-判決確定 (2)'!E33+'3-判決確定 (2)'!E54+'3-判決確定 (2)'!E75+'3-判決確定 (2)'!E96+'3-判決確定 (2)'!E116</f>
        <v>518</v>
      </c>
      <c r="F119" s="174">
        <f>F29+F40+F62+F104+F82+'3-判決確定 (2)'!F33+'3-判決確定 (2)'!F54+'3-判決確定 (2)'!F75+'3-判決確定 (2)'!F96+'3-判決確定 (2)'!F116</f>
        <v>0</v>
      </c>
      <c r="G119" s="174">
        <f>G29+G40+G62+G104+G82+'3-判決確定 (2)'!G33+'3-判決確定 (2)'!G54+'3-判決確定 (2)'!G75+'3-判決確定 (2)'!G96+'3-判決確定 (2)'!G116</f>
        <v>0</v>
      </c>
      <c r="H119" s="174">
        <f>H29+H40+H62+H104+H82+'3-判決確定 (2)'!H33+'3-判決確定 (2)'!H54+'3-判決確定 (2)'!H75+'3-判決確定 (2)'!H96+'3-判決確定 (2)'!H116</f>
        <v>99</v>
      </c>
      <c r="I119" s="174">
        <f>I29+I40+I62+I104+I82+'3-判決確定 (2)'!I33+'3-判決確定 (2)'!I54+'3-判決確定 (2)'!I75+'3-判決確定 (2)'!I96+'3-判決確定 (2)'!I116</f>
        <v>306</v>
      </c>
      <c r="J119" s="174">
        <f>J29+J40+J62+J104+J82+'3-判決確定 (2)'!J33+'3-判決確定 (2)'!J54+'3-判決確定 (2)'!J75+'3-判決確定 (2)'!J96+'3-判決確定 (2)'!J116</f>
        <v>23</v>
      </c>
      <c r="K119" s="174">
        <f>K29+K40+K62+K104+K82+'3-判決確定 (2)'!K33+'3-判決確定 (2)'!K54+'3-判決確定 (2)'!K75+'3-判決確定 (2)'!K96+'3-判決確定 (2)'!K116</f>
        <v>3</v>
      </c>
      <c r="L119" s="174">
        <f>L29+L40+L62+L104+L82+'3-判決確定 (2)'!L33+'3-判決確定 (2)'!L54+'3-判決確定 (2)'!L75+'3-判決確定 (2)'!L96+'3-判決確定 (2)'!L116</f>
        <v>23</v>
      </c>
      <c r="M119" s="174">
        <f>M29+M40+M62+M104+M82+'3-判決確定 (2)'!M33+'3-判決確定 (2)'!M54+'3-判決確定 (2)'!M75+'3-判決確定 (2)'!M96+'3-判決確定 (2)'!M116</f>
        <v>64</v>
      </c>
      <c r="N119" s="174">
        <f>N29+N40+N62+N104+N82+'3-判決確定 (2)'!N33+'3-判決確定 (2)'!N54+'3-判決確定 (2)'!N75+'3-判決確定 (2)'!N96+'3-判決確定 (2)'!N116</f>
        <v>0</v>
      </c>
      <c r="O119" s="174">
        <f>O29+O40+O62+O104+O82+'3-判決確定 (2)'!O33+'3-判決確定 (2)'!O54+'3-判決確定 (2)'!O75+'3-判決確定 (2)'!O96+'3-判決確定 (2)'!O116</f>
        <v>123</v>
      </c>
      <c r="P119" s="174">
        <f>P29+P40+P62+P104+P82+'3-判決確定 (2)'!P33+'3-判決確定 (2)'!P54+'3-判決確定 (2)'!P75+'3-判決確定 (2)'!P96+'3-判決確定 (2)'!P116</f>
        <v>1</v>
      </c>
      <c r="Q119" s="174">
        <f>Q29+Q40+Q62+Q104+Q82+'3-判決確定 (2)'!Q33+'3-判決確定 (2)'!Q54+'3-判決確定 (2)'!Q75+'3-判決確定 (2)'!Q96+'3-判決確定 (2)'!Q116</f>
        <v>11</v>
      </c>
      <c r="R119" s="174">
        <f>R29+R40+R62+R104+R82+'3-判決確定 (2)'!R33+'3-判決確定 (2)'!R54+'3-判決確定 (2)'!R75+'3-判決確定 (2)'!R96+'3-判決確定 (2)'!R116</f>
        <v>0</v>
      </c>
    </row>
    <row r="120" spans="2:18" ht="16.5">
      <c r="B120" s="41" t="str">
        <f>+B104</f>
        <v>    民國109年</v>
      </c>
      <c r="C120" s="174">
        <f>C30+C41+C63+C105+C83+'3-判決確定 (2)'!C34+'3-判決確定 (2)'!C55+'3-判決確定 (2)'!C76+'3-判決確定 (2)'!C97+'3-判決確定 (2)'!C117</f>
        <v>464</v>
      </c>
      <c r="D120" s="174">
        <f>D30+D41+D63+D105+D83+'3-判決確定 (2)'!D34+'3-判決確定 (2)'!D55+'3-判決確定 (2)'!D76+'3-判決確定 (2)'!D97+'3-判決確定 (2)'!D117</f>
        <v>694</v>
      </c>
      <c r="E120" s="174">
        <f>E30+E41+E63+E105+E83+'3-判決確定 (2)'!E34+'3-判決確定 (2)'!E55+'3-判決確定 (2)'!E76+'3-判決確定 (2)'!E97+'3-判決確定 (2)'!E117</f>
        <v>591</v>
      </c>
      <c r="F120" s="174">
        <f>F30+F41+F63+F105+F83+'3-判決確定 (2)'!F34+'3-判決確定 (2)'!F55+'3-判決確定 (2)'!F76+'3-判決確定 (2)'!F97+'3-判決確定 (2)'!F117</f>
        <v>0</v>
      </c>
      <c r="G120" s="174">
        <f>G30+G41+G63+G105+G83+'3-判決確定 (2)'!G34+'3-判決確定 (2)'!G55+'3-判決確定 (2)'!G76+'3-判決確定 (2)'!G97+'3-判決確定 (2)'!G117</f>
        <v>0</v>
      </c>
      <c r="H120" s="174">
        <f>H30+H41+H63+H105+H83+'3-判決確定 (2)'!H34+'3-判決確定 (2)'!H55+'3-判決確定 (2)'!H76+'3-判決確定 (2)'!H97+'3-判決確定 (2)'!H117</f>
        <v>117</v>
      </c>
      <c r="I120" s="174">
        <f>I30+I41+I63+I105+I83+'3-判決確定 (2)'!I34+'3-判決確定 (2)'!I55+'3-判決確定 (2)'!I76+'3-判決確定 (2)'!I97+'3-判決確定 (2)'!I117</f>
        <v>377</v>
      </c>
      <c r="J120" s="174">
        <f>J30+J41+J63+J105+J83+'3-判決確定 (2)'!J34+'3-判決確定 (2)'!J55+'3-判決確定 (2)'!J76+'3-判決確定 (2)'!J97+'3-判決確定 (2)'!J117</f>
        <v>11</v>
      </c>
      <c r="K120" s="174">
        <f>K30+K41+K63+K105+K83+'3-判決確定 (2)'!K34+'3-判決確定 (2)'!K55+'3-判決確定 (2)'!K76+'3-判決確定 (2)'!K97+'3-判決確定 (2)'!K117</f>
        <v>2</v>
      </c>
      <c r="L120" s="174">
        <f>L30+L41+L63+L105+L83+'3-判決確定 (2)'!L34+'3-判決確定 (2)'!L55+'3-判決確定 (2)'!L76+'3-判決確定 (2)'!L97+'3-判決確定 (2)'!L117</f>
        <v>14</v>
      </c>
      <c r="M120" s="174">
        <f>M30+M41+M63+M105+M83+'3-判決確定 (2)'!M34+'3-判決確定 (2)'!M55+'3-判決確定 (2)'!M76+'3-判決確定 (2)'!M97+'3-判決確定 (2)'!M117</f>
        <v>70</v>
      </c>
      <c r="N120" s="174">
        <f>N30+N41+N63+N105+N83+'3-判決確定 (2)'!N34+'3-判決確定 (2)'!N55+'3-判決確定 (2)'!N76+'3-判決確定 (2)'!N97+'3-判決確定 (2)'!N117</f>
        <v>0</v>
      </c>
      <c r="O120" s="174">
        <f>O30+O41+O63+O105+O83+'3-判決確定 (2)'!O34+'3-判決確定 (2)'!O55+'3-判決確定 (2)'!O76+'3-判決確定 (2)'!O97+'3-判決確定 (2)'!O117</f>
        <v>80</v>
      </c>
      <c r="P120" s="174">
        <f>P30+P41+P63+P105+P83+'3-判決確定 (2)'!P34+'3-判決確定 (2)'!P55+'3-判決確定 (2)'!P76+'3-判決確定 (2)'!P97+'3-判決確定 (2)'!P117</f>
        <v>6</v>
      </c>
      <c r="Q120" s="174">
        <f>Q30+Q41+Q63+Q105+Q83+'3-判決確定 (2)'!Q34+'3-判決確定 (2)'!Q55+'3-判決確定 (2)'!Q76+'3-判決確定 (2)'!Q97+'3-判決確定 (2)'!Q117</f>
        <v>14</v>
      </c>
      <c r="R120" s="174">
        <f>R30+R41+R63+R105+R83+'3-判決確定 (2)'!R34+'3-判決確定 (2)'!R55+'3-判決確定 (2)'!R76+'3-判決確定 (2)'!R97+'3-判決確定 (2)'!R117</f>
        <v>3</v>
      </c>
    </row>
  </sheetData>
  <sheetProtection/>
  <mergeCells count="3">
    <mergeCell ref="A4:B15"/>
    <mergeCell ref="R1:S3"/>
    <mergeCell ref="A16:A104"/>
  </mergeCells>
  <printOptions horizontalCentered="1" verticalCentered="1"/>
  <pageMargins left="0.15748031496062992" right="0.15748031496062992" top="0.3937007874015748" bottom="0" header="0.31496062992125984" footer="0.31496062992125984"/>
  <pageSetup horizontalDpi="600" verticalDpi="600" orientation="landscape"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BR136"/>
  <sheetViews>
    <sheetView view="pageBreakPreview" zoomScaleSheetLayoutView="100" zoomScalePageLayoutView="0" workbookViewId="0" topLeftCell="A1">
      <pane xSplit="2" ySplit="14" topLeftCell="C55" activePane="bottomRight" state="frozen"/>
      <selection pane="topLeft" activeCell="B26" sqref="B26:B27"/>
      <selection pane="topRight" activeCell="B26" sqref="B26:B27"/>
      <selection pane="bottomLeft" activeCell="B26" sqref="B26:B27"/>
      <selection pane="bottomRight" activeCell="A132" sqref="A132"/>
    </sheetView>
  </sheetViews>
  <sheetFormatPr defaultColWidth="9.00390625" defaultRowHeight="16.5"/>
  <cols>
    <col min="1" max="1" width="5.00390625" style="41" customWidth="1"/>
    <col min="2" max="2" width="21.625" style="41" customWidth="1"/>
    <col min="3" max="3" width="7.125" style="41" customWidth="1"/>
    <col min="4" max="7" width="7.125" style="43" customWidth="1"/>
    <col min="8" max="9" width="7.625" style="43" customWidth="1"/>
    <col min="10" max="13" width="6.625" style="43" customWidth="1"/>
    <col min="14" max="14" width="5.875" style="43" customWidth="1"/>
    <col min="15" max="15" width="7.875" style="43" bestFit="1" customWidth="1"/>
    <col min="16" max="16" width="5.875" style="43" customWidth="1"/>
    <col min="17" max="17" width="7.625" style="43" bestFit="1" customWidth="1"/>
    <col min="18" max="18" width="5.875" style="43" customWidth="1"/>
    <col min="19" max="19" width="6.875" style="43" bestFit="1" customWidth="1"/>
    <col min="20" max="24" width="9.00390625" style="43" customWidth="1"/>
    <col min="25" max="16384" width="9.00390625" style="41" customWidth="1"/>
  </cols>
  <sheetData>
    <row r="1" spans="1:24" ht="18" customHeight="1">
      <c r="A1" s="220" t="s">
        <v>287</v>
      </c>
      <c r="B1" s="72"/>
      <c r="C1" s="71"/>
      <c r="D1" s="72"/>
      <c r="E1" s="73"/>
      <c r="F1" s="73"/>
      <c r="G1" s="73"/>
      <c r="H1" s="72"/>
      <c r="I1" s="72"/>
      <c r="J1" s="72"/>
      <c r="K1" s="72"/>
      <c r="L1" s="72"/>
      <c r="M1" s="72"/>
      <c r="N1" s="72"/>
      <c r="O1" s="72"/>
      <c r="P1" s="72"/>
      <c r="Q1" s="72"/>
      <c r="R1" s="476"/>
      <c r="S1" s="476"/>
      <c r="T1" s="41"/>
      <c r="U1" s="41"/>
      <c r="V1" s="41"/>
      <c r="W1" s="41"/>
      <c r="X1" s="41"/>
    </row>
    <row r="2" spans="1:24" ht="7.5" customHeight="1" thickBot="1">
      <c r="A2" s="220"/>
      <c r="B2" s="72"/>
      <c r="C2" s="71"/>
      <c r="D2" s="72"/>
      <c r="E2" s="73"/>
      <c r="F2" s="73"/>
      <c r="G2" s="73"/>
      <c r="H2" s="72"/>
      <c r="I2" s="72"/>
      <c r="J2" s="72"/>
      <c r="K2" s="72"/>
      <c r="L2" s="72"/>
      <c r="M2" s="72"/>
      <c r="N2" s="72"/>
      <c r="O2" s="72"/>
      <c r="P2" s="72"/>
      <c r="Q2" s="72"/>
      <c r="R2" s="247"/>
      <c r="S2" s="247"/>
      <c r="T2" s="41"/>
      <c r="U2" s="41"/>
      <c r="V2" s="41"/>
      <c r="W2" s="41"/>
      <c r="X2" s="41"/>
    </row>
    <row r="3" spans="1:70" s="57" customFormat="1" ht="9" customHeight="1">
      <c r="A3" s="470"/>
      <c r="B3" s="471"/>
      <c r="C3" s="148" t="s">
        <v>28</v>
      </c>
      <c r="D3" s="149"/>
      <c r="E3" s="150" t="s">
        <v>29</v>
      </c>
      <c r="F3" s="150"/>
      <c r="G3" s="150"/>
      <c r="H3" s="150" t="s">
        <v>225</v>
      </c>
      <c r="I3" s="150"/>
      <c r="J3" s="150"/>
      <c r="K3" s="150" t="s">
        <v>226</v>
      </c>
      <c r="L3" s="150"/>
      <c r="M3" s="150"/>
      <c r="N3" s="150" t="s">
        <v>227</v>
      </c>
      <c r="O3" s="150"/>
      <c r="P3" s="150" t="s">
        <v>228</v>
      </c>
      <c r="Q3" s="150"/>
      <c r="R3" s="150"/>
      <c r="S3" s="151" t="s">
        <v>308</v>
      </c>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row>
    <row r="4" spans="1:70" s="57" customFormat="1" ht="9" customHeight="1">
      <c r="A4" s="472"/>
      <c r="B4" s="473"/>
      <c r="C4" s="153" t="s">
        <v>30</v>
      </c>
      <c r="D4" s="154" t="s">
        <v>0</v>
      </c>
      <c r="E4" s="155" t="s">
        <v>30</v>
      </c>
      <c r="F4" s="156"/>
      <c r="G4" s="156"/>
      <c r="H4" s="296" t="s">
        <v>179</v>
      </c>
      <c r="I4" s="156"/>
      <c r="J4" s="156"/>
      <c r="K4" s="156"/>
      <c r="L4" s="297" t="s">
        <v>307</v>
      </c>
      <c r="M4" s="153"/>
      <c r="N4" s="154" t="s">
        <v>32</v>
      </c>
      <c r="O4" s="154" t="s">
        <v>33</v>
      </c>
      <c r="P4" s="154" t="s">
        <v>32</v>
      </c>
      <c r="Q4" s="157" t="s">
        <v>2</v>
      </c>
      <c r="R4" s="153" t="s">
        <v>3</v>
      </c>
      <c r="S4" s="158"/>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row>
    <row r="5" spans="1:70" s="57" customFormat="1" ht="9" customHeight="1">
      <c r="A5" s="472"/>
      <c r="B5" s="473"/>
      <c r="C5" s="153"/>
      <c r="D5" s="154"/>
      <c r="E5" s="228"/>
      <c r="F5" s="159"/>
      <c r="G5" s="159"/>
      <c r="H5" s="229" t="s">
        <v>196</v>
      </c>
      <c r="I5" s="224" t="s">
        <v>197</v>
      </c>
      <c r="J5" s="224" t="s">
        <v>198</v>
      </c>
      <c r="K5" s="226" t="s">
        <v>145</v>
      </c>
      <c r="L5" s="159" t="s">
        <v>36</v>
      </c>
      <c r="M5" s="159" t="s">
        <v>37</v>
      </c>
      <c r="N5" s="154"/>
      <c r="O5" s="154"/>
      <c r="P5" s="154"/>
      <c r="Q5" s="157"/>
      <c r="R5" s="153"/>
      <c r="S5" s="158"/>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row>
    <row r="6" spans="1:70" s="57" customFormat="1" ht="9" customHeight="1">
      <c r="A6" s="472"/>
      <c r="B6" s="473"/>
      <c r="C6" s="153"/>
      <c r="D6" s="154"/>
      <c r="E6" s="154"/>
      <c r="F6" s="157" t="s">
        <v>38</v>
      </c>
      <c r="G6" s="157" t="s">
        <v>33</v>
      </c>
      <c r="H6" s="153" t="s">
        <v>40</v>
      </c>
      <c r="I6" s="154" t="s">
        <v>35</v>
      </c>
      <c r="J6" s="157" t="s">
        <v>34</v>
      </c>
      <c r="K6" s="157" t="s">
        <v>94</v>
      </c>
      <c r="L6" s="227"/>
      <c r="M6" s="227"/>
      <c r="N6" s="154"/>
      <c r="O6" s="154"/>
      <c r="P6" s="154"/>
      <c r="Q6" s="157"/>
      <c r="R6" s="153"/>
      <c r="S6" s="154"/>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row>
    <row r="7" spans="1:70" s="57" customFormat="1" ht="9" customHeight="1">
      <c r="A7" s="472"/>
      <c r="B7" s="473"/>
      <c r="C7" s="153"/>
      <c r="D7" s="154"/>
      <c r="E7" s="154"/>
      <c r="F7" s="157"/>
      <c r="G7" s="157"/>
      <c r="I7" s="154" t="s">
        <v>40</v>
      </c>
      <c r="J7" s="157" t="s">
        <v>41</v>
      </c>
      <c r="K7" s="157"/>
      <c r="L7" s="154"/>
      <c r="M7" s="154"/>
      <c r="N7" s="154"/>
      <c r="O7" s="154"/>
      <c r="P7" s="154"/>
      <c r="Q7" s="157"/>
      <c r="R7" s="153"/>
      <c r="S7" s="154"/>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row>
    <row r="8" spans="1:70" s="57" customFormat="1" ht="9" customHeight="1">
      <c r="A8" s="472"/>
      <c r="B8" s="473"/>
      <c r="C8" s="153"/>
      <c r="D8" s="154"/>
      <c r="E8" s="154"/>
      <c r="F8" s="157"/>
      <c r="G8" s="157" t="s">
        <v>43</v>
      </c>
      <c r="H8" s="153" t="s">
        <v>39</v>
      </c>
      <c r="I8" s="154" t="s">
        <v>39</v>
      </c>
      <c r="J8" s="157" t="s">
        <v>42</v>
      </c>
      <c r="K8" s="157" t="s">
        <v>199</v>
      </c>
      <c r="L8" s="154"/>
      <c r="M8" s="154"/>
      <c r="N8" s="154"/>
      <c r="O8" s="154"/>
      <c r="P8" s="154"/>
      <c r="Q8" s="157" t="s">
        <v>44</v>
      </c>
      <c r="R8" s="153"/>
      <c r="S8" s="154" t="s">
        <v>98</v>
      </c>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row>
    <row r="9" spans="1:70" s="57" customFormat="1" ht="9" customHeight="1">
      <c r="A9" s="472"/>
      <c r="B9" s="473"/>
      <c r="C9" s="153"/>
      <c r="D9" s="154"/>
      <c r="E9" s="154" t="s">
        <v>8</v>
      </c>
      <c r="F9" s="157"/>
      <c r="G9" s="157"/>
      <c r="I9" s="154"/>
      <c r="J9" s="157" t="s">
        <v>45</v>
      </c>
      <c r="K9" s="157"/>
      <c r="L9" s="154"/>
      <c r="M9" s="154"/>
      <c r="N9" s="154"/>
      <c r="O9" s="154"/>
      <c r="P9" s="154"/>
      <c r="Q9" s="157"/>
      <c r="R9" s="153"/>
      <c r="S9" s="158"/>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row>
    <row r="10" spans="1:70" s="57" customFormat="1" ht="9" customHeight="1">
      <c r="A10" s="472"/>
      <c r="B10" s="473"/>
      <c r="C10" s="153"/>
      <c r="D10" s="154"/>
      <c r="E10" s="154"/>
      <c r="F10" s="157"/>
      <c r="G10" s="157"/>
      <c r="H10" s="153" t="s">
        <v>42</v>
      </c>
      <c r="I10" s="154" t="s">
        <v>99</v>
      </c>
      <c r="J10" s="154" t="s">
        <v>94</v>
      </c>
      <c r="K10" s="157" t="s">
        <v>175</v>
      </c>
      <c r="L10" s="154"/>
      <c r="M10" s="154"/>
      <c r="N10" s="154"/>
      <c r="O10" s="154"/>
      <c r="P10" s="154"/>
      <c r="Q10" s="157"/>
      <c r="R10" s="153"/>
      <c r="S10" s="154"/>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row>
    <row r="11" spans="1:70" s="57" customFormat="1" ht="9" customHeight="1">
      <c r="A11" s="472"/>
      <c r="B11" s="473"/>
      <c r="C11" s="153"/>
      <c r="D11" s="154"/>
      <c r="E11" s="154"/>
      <c r="F11" s="157"/>
      <c r="G11" s="157" t="s">
        <v>47</v>
      </c>
      <c r="I11" s="154" t="s">
        <v>41</v>
      </c>
      <c r="J11" s="154" t="s">
        <v>41</v>
      </c>
      <c r="K11" s="157"/>
      <c r="L11" s="154"/>
      <c r="M11" s="154"/>
      <c r="N11" s="154"/>
      <c r="O11" s="154"/>
      <c r="P11" s="154"/>
      <c r="Q11" s="157"/>
      <c r="R11" s="153"/>
      <c r="S11" s="154"/>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row>
    <row r="12" spans="1:70" s="57" customFormat="1" ht="9" customHeight="1">
      <c r="A12" s="472"/>
      <c r="B12" s="473"/>
      <c r="C12" s="153"/>
      <c r="D12" s="154"/>
      <c r="E12" s="154"/>
      <c r="F12" s="157"/>
      <c r="G12" s="157"/>
      <c r="I12" s="154" t="s">
        <v>100</v>
      </c>
      <c r="J12" s="154" t="s">
        <v>100</v>
      </c>
      <c r="K12" s="157"/>
      <c r="L12" s="154"/>
      <c r="M12" s="154"/>
      <c r="N12" s="154"/>
      <c r="O12" s="154"/>
      <c r="P12" s="154"/>
      <c r="Q12" s="157"/>
      <c r="R12" s="153"/>
      <c r="S12" s="154" t="s">
        <v>232</v>
      </c>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row>
    <row r="13" spans="1:70" s="57" customFormat="1" ht="14.25" customHeight="1">
      <c r="A13" s="472"/>
      <c r="B13" s="473"/>
      <c r="C13" s="153" t="s">
        <v>31</v>
      </c>
      <c r="D13" s="154" t="s">
        <v>8</v>
      </c>
      <c r="E13" s="154"/>
      <c r="F13" s="157" t="s">
        <v>52</v>
      </c>
      <c r="G13" s="157" t="s">
        <v>52</v>
      </c>
      <c r="H13" s="212" t="s">
        <v>49</v>
      </c>
      <c r="I13" s="154" t="s">
        <v>48</v>
      </c>
      <c r="J13" s="154" t="s">
        <v>48</v>
      </c>
      <c r="K13" s="157" t="s">
        <v>200</v>
      </c>
      <c r="L13" s="154" t="s">
        <v>50</v>
      </c>
      <c r="M13" s="154" t="s">
        <v>51</v>
      </c>
      <c r="N13" s="154" t="s">
        <v>52</v>
      </c>
      <c r="O13" s="154" t="s">
        <v>53</v>
      </c>
      <c r="P13" s="154" t="s">
        <v>54</v>
      </c>
      <c r="Q13" s="157" t="s">
        <v>55</v>
      </c>
      <c r="R13" s="153" t="s">
        <v>10</v>
      </c>
      <c r="S13" s="154" t="s">
        <v>231</v>
      </c>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row>
    <row r="14" spans="1:70" s="57" customFormat="1" ht="9" customHeight="1" thickBot="1">
      <c r="A14" s="474"/>
      <c r="B14" s="475"/>
      <c r="C14" s="143"/>
      <c r="D14" s="161"/>
      <c r="E14" s="161"/>
      <c r="F14" s="162"/>
      <c r="G14" s="162"/>
      <c r="H14" s="163"/>
      <c r="I14" s="161"/>
      <c r="J14" s="161"/>
      <c r="K14" s="161"/>
      <c r="L14" s="162"/>
      <c r="M14" s="161"/>
      <c r="N14" s="162"/>
      <c r="O14" s="161"/>
      <c r="P14" s="161"/>
      <c r="Q14" s="162"/>
      <c r="R14" s="163"/>
      <c r="S14" s="161"/>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row>
    <row r="15" spans="1:19" s="22" customFormat="1" ht="12" customHeight="1">
      <c r="A15" s="478" t="s">
        <v>346</v>
      </c>
      <c r="B15" s="100" t="s">
        <v>70</v>
      </c>
      <c r="C15" s="93">
        <v>0</v>
      </c>
      <c r="D15" s="105">
        <f>+E15+N15+O15+P15+Q15+R15</f>
        <v>0</v>
      </c>
      <c r="E15" s="105">
        <f>SUM(H15:M15)</f>
        <v>0</v>
      </c>
      <c r="F15" s="164">
        <v>0</v>
      </c>
      <c r="G15" s="164">
        <v>0</v>
      </c>
      <c r="H15" s="164">
        <v>0</v>
      </c>
      <c r="I15" s="164">
        <v>0</v>
      </c>
      <c r="J15" s="164">
        <v>0</v>
      </c>
      <c r="K15" s="164">
        <v>0</v>
      </c>
      <c r="L15" s="164">
        <v>0</v>
      </c>
      <c r="M15" s="164">
        <v>0</v>
      </c>
      <c r="N15" s="164">
        <v>0</v>
      </c>
      <c r="O15" s="164">
        <v>0</v>
      </c>
      <c r="P15" s="164">
        <v>0</v>
      </c>
      <c r="Q15" s="164">
        <v>0</v>
      </c>
      <c r="R15" s="164">
        <v>0</v>
      </c>
      <c r="S15" s="252">
        <v>0</v>
      </c>
    </row>
    <row r="16" spans="1:19" s="22" customFormat="1" ht="12" customHeight="1" hidden="1">
      <c r="A16" s="479"/>
      <c r="B16" s="25" t="s">
        <v>97</v>
      </c>
      <c r="C16" s="93">
        <v>0</v>
      </c>
      <c r="D16" s="93">
        <f>SUM(E16,N16:R16)</f>
        <v>0</v>
      </c>
      <c r="E16" s="93">
        <f>SUM(H16:M16)</f>
        <v>0</v>
      </c>
      <c r="F16" s="93" t="s">
        <v>71</v>
      </c>
      <c r="G16" s="93" t="s">
        <v>71</v>
      </c>
      <c r="H16" s="93" t="s">
        <v>71</v>
      </c>
      <c r="I16" s="93">
        <v>0</v>
      </c>
      <c r="J16" s="93">
        <v>0</v>
      </c>
      <c r="K16" s="93">
        <v>0</v>
      </c>
      <c r="L16" s="93" t="s">
        <v>71</v>
      </c>
      <c r="M16" s="93" t="s">
        <v>71</v>
      </c>
      <c r="N16" s="93" t="s">
        <v>71</v>
      </c>
      <c r="O16" s="93" t="s">
        <v>71</v>
      </c>
      <c r="P16" s="93" t="s">
        <v>71</v>
      </c>
      <c r="Q16" s="93" t="s">
        <v>71</v>
      </c>
      <c r="R16" s="93" t="s">
        <v>71</v>
      </c>
      <c r="S16" s="252">
        <v>0</v>
      </c>
    </row>
    <row r="17" spans="1:19" s="22" customFormat="1" ht="12" customHeight="1" hidden="1">
      <c r="A17" s="479"/>
      <c r="B17" s="25" t="s">
        <v>101</v>
      </c>
      <c r="C17" s="93">
        <v>0</v>
      </c>
      <c r="D17" s="93">
        <f>SUM(E17,N17:R17)</f>
        <v>0</v>
      </c>
      <c r="E17" s="93">
        <f>SUM(H17:M17)</f>
        <v>0</v>
      </c>
      <c r="F17" s="93" t="s">
        <v>71</v>
      </c>
      <c r="G17" s="93" t="s">
        <v>71</v>
      </c>
      <c r="H17" s="93" t="s">
        <v>71</v>
      </c>
      <c r="I17" s="93">
        <v>0</v>
      </c>
      <c r="J17" s="93">
        <v>0</v>
      </c>
      <c r="K17" s="93">
        <v>0</v>
      </c>
      <c r="L17" s="93" t="s">
        <v>71</v>
      </c>
      <c r="M17" s="93" t="s">
        <v>71</v>
      </c>
      <c r="N17" s="93" t="s">
        <v>71</v>
      </c>
      <c r="O17" s="93" t="s">
        <v>71</v>
      </c>
      <c r="P17" s="93" t="s">
        <v>71</v>
      </c>
      <c r="Q17" s="93" t="s">
        <v>71</v>
      </c>
      <c r="R17" s="93" t="s">
        <v>71</v>
      </c>
      <c r="S17" s="252">
        <v>0</v>
      </c>
    </row>
    <row r="18" spans="1:19" s="22" customFormat="1" ht="12" customHeight="1" hidden="1">
      <c r="A18" s="479"/>
      <c r="B18" s="98" t="s">
        <v>192</v>
      </c>
      <c r="C18" s="164">
        <v>0</v>
      </c>
      <c r="D18" s="105">
        <v>0</v>
      </c>
      <c r="E18" s="105">
        <v>0</v>
      </c>
      <c r="F18" s="164">
        <v>0</v>
      </c>
      <c r="G18" s="164">
        <v>0</v>
      </c>
      <c r="H18" s="164">
        <v>0</v>
      </c>
      <c r="I18" s="164">
        <v>0</v>
      </c>
      <c r="J18" s="164">
        <v>0</v>
      </c>
      <c r="K18" s="164">
        <v>0</v>
      </c>
      <c r="L18" s="164">
        <v>0</v>
      </c>
      <c r="M18" s="164">
        <v>0</v>
      </c>
      <c r="N18" s="164">
        <v>0</v>
      </c>
      <c r="O18" s="164">
        <v>0</v>
      </c>
      <c r="P18" s="164">
        <v>0</v>
      </c>
      <c r="Q18" s="164">
        <v>0</v>
      </c>
      <c r="R18" s="164">
        <v>0</v>
      </c>
      <c r="S18" s="252">
        <v>0</v>
      </c>
    </row>
    <row r="19" spans="1:19" s="22" customFormat="1" ht="12" customHeight="1" hidden="1">
      <c r="A19" s="479"/>
      <c r="B19" s="98" t="s">
        <v>166</v>
      </c>
      <c r="C19" s="164">
        <v>0</v>
      </c>
      <c r="D19" s="105">
        <v>0</v>
      </c>
      <c r="E19" s="105">
        <v>0</v>
      </c>
      <c r="F19" s="164">
        <v>0</v>
      </c>
      <c r="G19" s="164">
        <v>0</v>
      </c>
      <c r="H19" s="164">
        <v>0</v>
      </c>
      <c r="I19" s="164">
        <v>0</v>
      </c>
      <c r="J19" s="164">
        <v>0</v>
      </c>
      <c r="K19" s="164">
        <v>0</v>
      </c>
      <c r="L19" s="164">
        <v>0</v>
      </c>
      <c r="M19" s="164">
        <v>0</v>
      </c>
      <c r="N19" s="164">
        <v>0</v>
      </c>
      <c r="O19" s="164">
        <v>0</v>
      </c>
      <c r="P19" s="164">
        <v>0</v>
      </c>
      <c r="Q19" s="164">
        <v>0</v>
      </c>
      <c r="R19" s="164">
        <v>0</v>
      </c>
      <c r="S19" s="252">
        <v>0</v>
      </c>
    </row>
    <row r="20" spans="1:19" s="22" customFormat="1" ht="12" customHeight="1" hidden="1">
      <c r="A20" s="479"/>
      <c r="B20" s="98" t="s">
        <v>167</v>
      </c>
      <c r="C20" s="164">
        <v>0</v>
      </c>
      <c r="D20" s="105">
        <v>0</v>
      </c>
      <c r="E20" s="105">
        <v>0</v>
      </c>
      <c r="F20" s="164">
        <v>0</v>
      </c>
      <c r="G20" s="164">
        <v>0</v>
      </c>
      <c r="H20" s="164">
        <v>0</v>
      </c>
      <c r="I20" s="164">
        <v>0</v>
      </c>
      <c r="J20" s="164">
        <v>0</v>
      </c>
      <c r="K20" s="164">
        <v>0</v>
      </c>
      <c r="L20" s="164">
        <v>0</v>
      </c>
      <c r="M20" s="164">
        <v>0</v>
      </c>
      <c r="N20" s="164">
        <v>0</v>
      </c>
      <c r="O20" s="164">
        <v>0</v>
      </c>
      <c r="P20" s="164">
        <v>0</v>
      </c>
      <c r="Q20" s="164">
        <v>0</v>
      </c>
      <c r="R20" s="164">
        <v>0</v>
      </c>
      <c r="S20" s="252">
        <v>0</v>
      </c>
    </row>
    <row r="21" spans="1:19" s="22" customFormat="1" ht="12" customHeight="1" hidden="1">
      <c r="A21" s="479"/>
      <c r="B21" s="98" t="s">
        <v>169</v>
      </c>
      <c r="C21" s="164">
        <v>0</v>
      </c>
      <c r="D21" s="105">
        <v>0</v>
      </c>
      <c r="E21" s="105">
        <v>0</v>
      </c>
      <c r="F21" s="164">
        <v>0</v>
      </c>
      <c r="G21" s="164">
        <v>0</v>
      </c>
      <c r="H21" s="164">
        <v>0</v>
      </c>
      <c r="I21" s="164">
        <v>0</v>
      </c>
      <c r="J21" s="164">
        <v>0</v>
      </c>
      <c r="K21" s="164">
        <v>0</v>
      </c>
      <c r="L21" s="164">
        <v>0</v>
      </c>
      <c r="M21" s="164">
        <v>0</v>
      </c>
      <c r="N21" s="164">
        <v>0</v>
      </c>
      <c r="O21" s="164">
        <v>0</v>
      </c>
      <c r="P21" s="164">
        <v>0</v>
      </c>
      <c r="Q21" s="164">
        <v>0</v>
      </c>
      <c r="R21" s="164">
        <v>0</v>
      </c>
      <c r="S21" s="252">
        <v>0</v>
      </c>
    </row>
    <row r="22" spans="1:19" s="22" customFormat="1" ht="12" customHeight="1" hidden="1">
      <c r="A22" s="479"/>
      <c r="B22" s="98" t="s">
        <v>193</v>
      </c>
      <c r="C22" s="164">
        <v>0</v>
      </c>
      <c r="D22" s="105">
        <f aca="true" t="shared" si="0" ref="D22:D29">+E22+N22+O22+P22+Q22+R22</f>
        <v>0</v>
      </c>
      <c r="E22" s="105">
        <f aca="true" t="shared" si="1" ref="E22:E29">SUM(H22:M22)</f>
        <v>0</v>
      </c>
      <c r="F22" s="164">
        <v>0</v>
      </c>
      <c r="G22" s="164">
        <v>0</v>
      </c>
      <c r="H22" s="164">
        <v>0</v>
      </c>
      <c r="I22" s="164">
        <v>0</v>
      </c>
      <c r="J22" s="164">
        <v>0</v>
      </c>
      <c r="K22" s="164">
        <v>0</v>
      </c>
      <c r="L22" s="164">
        <v>0</v>
      </c>
      <c r="M22" s="164">
        <v>0</v>
      </c>
      <c r="N22" s="164">
        <v>0</v>
      </c>
      <c r="O22" s="164">
        <v>0</v>
      </c>
      <c r="P22" s="164">
        <v>0</v>
      </c>
      <c r="Q22" s="164">
        <v>0</v>
      </c>
      <c r="R22" s="164">
        <v>0</v>
      </c>
      <c r="S22" s="252">
        <v>0</v>
      </c>
    </row>
    <row r="23" spans="1:19" s="22" customFormat="1" ht="12" customHeight="1" hidden="1">
      <c r="A23" s="479"/>
      <c r="B23" s="98" t="s">
        <v>203</v>
      </c>
      <c r="C23" s="164">
        <v>0</v>
      </c>
      <c r="D23" s="105">
        <f t="shared" si="0"/>
        <v>0</v>
      </c>
      <c r="E23" s="105">
        <f t="shared" si="1"/>
        <v>0</v>
      </c>
      <c r="F23" s="164">
        <v>0</v>
      </c>
      <c r="G23" s="164">
        <v>0</v>
      </c>
      <c r="H23" s="164">
        <v>0</v>
      </c>
      <c r="I23" s="164">
        <v>0</v>
      </c>
      <c r="J23" s="164">
        <v>0</v>
      </c>
      <c r="K23" s="164">
        <v>0</v>
      </c>
      <c r="L23" s="164">
        <v>0</v>
      </c>
      <c r="M23" s="164">
        <v>0</v>
      </c>
      <c r="N23" s="164">
        <v>0</v>
      </c>
      <c r="O23" s="164">
        <v>0</v>
      </c>
      <c r="P23" s="164">
        <v>0</v>
      </c>
      <c r="Q23" s="164">
        <v>0</v>
      </c>
      <c r="R23" s="164">
        <v>0</v>
      </c>
      <c r="S23" s="252">
        <v>0</v>
      </c>
    </row>
    <row r="24" spans="1:19" s="22" customFormat="1" ht="12" customHeight="1" hidden="1">
      <c r="A24" s="479"/>
      <c r="B24" s="98" t="s">
        <v>210</v>
      </c>
      <c r="C24" s="164">
        <v>0</v>
      </c>
      <c r="D24" s="105">
        <f t="shared" si="0"/>
        <v>0</v>
      </c>
      <c r="E24" s="105">
        <f t="shared" si="1"/>
        <v>0</v>
      </c>
      <c r="F24" s="164">
        <v>0</v>
      </c>
      <c r="G24" s="164">
        <v>0</v>
      </c>
      <c r="H24" s="164">
        <v>0</v>
      </c>
      <c r="I24" s="164">
        <v>0</v>
      </c>
      <c r="J24" s="164">
        <v>0</v>
      </c>
      <c r="K24" s="164">
        <v>0</v>
      </c>
      <c r="L24" s="164">
        <v>0</v>
      </c>
      <c r="M24" s="164">
        <v>0</v>
      </c>
      <c r="N24" s="164">
        <v>0</v>
      </c>
      <c r="O24" s="164">
        <v>0</v>
      </c>
      <c r="P24" s="164">
        <v>0</v>
      </c>
      <c r="Q24" s="164">
        <v>0</v>
      </c>
      <c r="R24" s="164">
        <v>0</v>
      </c>
      <c r="S24" s="252">
        <v>0</v>
      </c>
    </row>
    <row r="25" spans="1:19" s="22" customFormat="1" ht="12" customHeight="1" hidden="1">
      <c r="A25" s="479"/>
      <c r="B25" s="98" t="s">
        <v>237</v>
      </c>
      <c r="C25" s="164">
        <v>1</v>
      </c>
      <c r="D25" s="105">
        <f t="shared" si="0"/>
        <v>3</v>
      </c>
      <c r="E25" s="105">
        <f t="shared" si="1"/>
        <v>3</v>
      </c>
      <c r="F25" s="164">
        <v>0</v>
      </c>
      <c r="G25" s="164">
        <v>0</v>
      </c>
      <c r="H25" s="164">
        <v>2</v>
      </c>
      <c r="I25" s="164">
        <v>0</v>
      </c>
      <c r="J25" s="164">
        <v>0</v>
      </c>
      <c r="K25" s="164">
        <v>0</v>
      </c>
      <c r="L25" s="164">
        <v>0</v>
      </c>
      <c r="M25" s="164">
        <v>1</v>
      </c>
      <c r="N25" s="164">
        <v>0</v>
      </c>
      <c r="O25" s="164">
        <v>0</v>
      </c>
      <c r="P25" s="164">
        <v>0</v>
      </c>
      <c r="Q25" s="164">
        <v>0</v>
      </c>
      <c r="R25" s="164">
        <v>0</v>
      </c>
      <c r="S25" s="252">
        <f>+ROUND((E25+N25)/D25*100,2)</f>
        <v>100</v>
      </c>
    </row>
    <row r="26" spans="1:19" s="22" customFormat="1" ht="12" customHeight="1" hidden="1">
      <c r="A26" s="479"/>
      <c r="B26" s="98" t="s">
        <v>243</v>
      </c>
      <c r="C26" s="164">
        <v>1</v>
      </c>
      <c r="D26" s="105">
        <f t="shared" si="0"/>
        <v>3</v>
      </c>
      <c r="E26" s="105">
        <f t="shared" si="1"/>
        <v>3</v>
      </c>
      <c r="F26" s="164">
        <v>0</v>
      </c>
      <c r="G26" s="164">
        <v>0</v>
      </c>
      <c r="H26" s="164">
        <v>2</v>
      </c>
      <c r="I26" s="164">
        <v>0</v>
      </c>
      <c r="J26" s="164">
        <v>0</v>
      </c>
      <c r="K26" s="164">
        <v>0</v>
      </c>
      <c r="L26" s="164">
        <v>0</v>
      </c>
      <c r="M26" s="164">
        <v>1</v>
      </c>
      <c r="N26" s="164">
        <v>0</v>
      </c>
      <c r="O26" s="164">
        <v>0</v>
      </c>
      <c r="P26" s="164">
        <v>0</v>
      </c>
      <c r="Q26" s="164">
        <v>0</v>
      </c>
      <c r="R26" s="164">
        <v>0</v>
      </c>
      <c r="S26" s="252">
        <f>+ROUND((E26+N26)/D26*100,2)</f>
        <v>100</v>
      </c>
    </row>
    <row r="27" spans="1:19" s="22" customFormat="1" ht="12" customHeight="1" hidden="1">
      <c r="A27" s="479"/>
      <c r="B27" s="98" t="s">
        <v>249</v>
      </c>
      <c r="C27" s="164">
        <v>0</v>
      </c>
      <c r="D27" s="105">
        <f t="shared" si="0"/>
        <v>0</v>
      </c>
      <c r="E27" s="105">
        <f t="shared" si="1"/>
        <v>0</v>
      </c>
      <c r="F27" s="164">
        <v>0</v>
      </c>
      <c r="G27" s="164">
        <v>0</v>
      </c>
      <c r="H27" s="164">
        <v>0</v>
      </c>
      <c r="I27" s="164">
        <v>0</v>
      </c>
      <c r="J27" s="164">
        <v>0</v>
      </c>
      <c r="K27" s="164">
        <v>0</v>
      </c>
      <c r="L27" s="164">
        <v>0</v>
      </c>
      <c r="M27" s="164">
        <v>0</v>
      </c>
      <c r="N27" s="164">
        <v>0</v>
      </c>
      <c r="O27" s="164">
        <v>0</v>
      </c>
      <c r="P27" s="164">
        <v>0</v>
      </c>
      <c r="Q27" s="164">
        <v>0</v>
      </c>
      <c r="R27" s="164">
        <v>0</v>
      </c>
      <c r="S27" s="252">
        <v>0</v>
      </c>
    </row>
    <row r="28" spans="1:19" s="22" customFormat="1" ht="12" customHeight="1" hidden="1">
      <c r="A28" s="479"/>
      <c r="B28" s="98" t="s">
        <v>257</v>
      </c>
      <c r="C28" s="164">
        <v>0</v>
      </c>
      <c r="D28" s="105">
        <f t="shared" si="0"/>
        <v>0</v>
      </c>
      <c r="E28" s="105">
        <f t="shared" si="1"/>
        <v>0</v>
      </c>
      <c r="F28" s="164">
        <v>0</v>
      </c>
      <c r="G28" s="164">
        <v>0</v>
      </c>
      <c r="H28" s="164">
        <v>0</v>
      </c>
      <c r="I28" s="164">
        <v>0</v>
      </c>
      <c r="J28" s="164">
        <v>0</v>
      </c>
      <c r="K28" s="164">
        <v>0</v>
      </c>
      <c r="L28" s="164">
        <v>0</v>
      </c>
      <c r="M28" s="164">
        <v>0</v>
      </c>
      <c r="N28" s="164">
        <v>0</v>
      </c>
      <c r="O28" s="164">
        <v>0</v>
      </c>
      <c r="P28" s="164">
        <v>0</v>
      </c>
      <c r="Q28" s="164">
        <v>0</v>
      </c>
      <c r="R28" s="164">
        <v>0</v>
      </c>
      <c r="S28" s="252">
        <v>0</v>
      </c>
    </row>
    <row r="29" spans="1:19" s="22" customFormat="1" ht="12" customHeight="1" hidden="1">
      <c r="A29" s="479"/>
      <c r="B29" s="98" t="s">
        <v>268</v>
      </c>
      <c r="C29" s="164">
        <v>0</v>
      </c>
      <c r="D29" s="105">
        <f t="shared" si="0"/>
        <v>0</v>
      </c>
      <c r="E29" s="105">
        <f t="shared" si="1"/>
        <v>0</v>
      </c>
      <c r="F29" s="164">
        <v>0</v>
      </c>
      <c r="G29" s="164">
        <v>0</v>
      </c>
      <c r="H29" s="164">
        <v>0</v>
      </c>
      <c r="I29" s="164">
        <v>0</v>
      </c>
      <c r="J29" s="164">
        <v>0</v>
      </c>
      <c r="K29" s="164">
        <v>0</v>
      </c>
      <c r="L29" s="164">
        <v>0</v>
      </c>
      <c r="M29" s="164">
        <v>0</v>
      </c>
      <c r="N29" s="164">
        <v>0</v>
      </c>
      <c r="O29" s="164">
        <v>0</v>
      </c>
      <c r="P29" s="164">
        <v>0</v>
      </c>
      <c r="Q29" s="164">
        <v>0</v>
      </c>
      <c r="R29" s="164">
        <v>0</v>
      </c>
      <c r="S29" s="252">
        <v>0</v>
      </c>
    </row>
    <row r="30" spans="1:19" s="22" customFormat="1" ht="12" customHeight="1" hidden="1">
      <c r="A30" s="479"/>
      <c r="B30" s="98" t="s">
        <v>275</v>
      </c>
      <c r="C30" s="164">
        <v>0</v>
      </c>
      <c r="D30" s="105">
        <f aca="true" t="shared" si="2" ref="D30:D35">+E30+N30+O30+P30+Q30+R30</f>
        <v>0</v>
      </c>
      <c r="E30" s="105">
        <f aca="true" t="shared" si="3" ref="E30:E35">SUM(H30:M30)</f>
        <v>0</v>
      </c>
      <c r="F30" s="164">
        <v>0</v>
      </c>
      <c r="G30" s="164">
        <v>0</v>
      </c>
      <c r="H30" s="164">
        <v>0</v>
      </c>
      <c r="I30" s="164">
        <v>0</v>
      </c>
      <c r="J30" s="164">
        <v>0</v>
      </c>
      <c r="K30" s="164">
        <v>0</v>
      </c>
      <c r="L30" s="164">
        <v>0</v>
      </c>
      <c r="M30" s="164">
        <v>0</v>
      </c>
      <c r="N30" s="164">
        <v>0</v>
      </c>
      <c r="O30" s="164">
        <v>0</v>
      </c>
      <c r="P30" s="164">
        <v>0</v>
      </c>
      <c r="Q30" s="164">
        <v>0</v>
      </c>
      <c r="R30" s="164">
        <v>0</v>
      </c>
      <c r="S30" s="252">
        <v>0</v>
      </c>
    </row>
    <row r="31" spans="1:19" s="22" customFormat="1" ht="12" customHeight="1">
      <c r="A31" s="479"/>
      <c r="B31" s="98" t="s">
        <v>304</v>
      </c>
      <c r="C31" s="164">
        <v>0</v>
      </c>
      <c r="D31" s="105">
        <f t="shared" si="2"/>
        <v>0</v>
      </c>
      <c r="E31" s="105">
        <f t="shared" si="3"/>
        <v>0</v>
      </c>
      <c r="F31" s="164">
        <v>0</v>
      </c>
      <c r="G31" s="164">
        <v>0</v>
      </c>
      <c r="H31" s="164">
        <v>0</v>
      </c>
      <c r="I31" s="164">
        <v>0</v>
      </c>
      <c r="J31" s="164">
        <v>0</v>
      </c>
      <c r="K31" s="164">
        <v>0</v>
      </c>
      <c r="L31" s="164">
        <v>0</v>
      </c>
      <c r="M31" s="164">
        <v>0</v>
      </c>
      <c r="N31" s="164">
        <v>0</v>
      </c>
      <c r="O31" s="164">
        <v>0</v>
      </c>
      <c r="P31" s="164">
        <v>0</v>
      </c>
      <c r="Q31" s="164">
        <v>0</v>
      </c>
      <c r="R31" s="164">
        <v>0</v>
      </c>
      <c r="S31" s="252">
        <v>0</v>
      </c>
    </row>
    <row r="32" spans="1:19" s="22" customFormat="1" ht="12" customHeight="1">
      <c r="A32" s="479"/>
      <c r="B32" s="98" t="s">
        <v>314</v>
      </c>
      <c r="C32" s="164">
        <v>0</v>
      </c>
      <c r="D32" s="105">
        <f t="shared" si="2"/>
        <v>0</v>
      </c>
      <c r="E32" s="105">
        <f t="shared" si="3"/>
        <v>0</v>
      </c>
      <c r="F32" s="164">
        <v>0</v>
      </c>
      <c r="G32" s="164">
        <v>0</v>
      </c>
      <c r="H32" s="164">
        <v>0</v>
      </c>
      <c r="I32" s="164">
        <v>0</v>
      </c>
      <c r="J32" s="164">
        <v>0</v>
      </c>
      <c r="K32" s="164">
        <v>0</v>
      </c>
      <c r="L32" s="164">
        <v>0</v>
      </c>
      <c r="M32" s="164">
        <v>0</v>
      </c>
      <c r="N32" s="164">
        <v>0</v>
      </c>
      <c r="O32" s="164">
        <v>0</v>
      </c>
      <c r="P32" s="164">
        <v>0</v>
      </c>
      <c r="Q32" s="164">
        <v>0</v>
      </c>
      <c r="R32" s="164">
        <v>0</v>
      </c>
      <c r="S32" s="252">
        <v>0</v>
      </c>
    </row>
    <row r="33" spans="1:19" s="22" customFormat="1" ht="12" customHeight="1">
      <c r="A33" s="479"/>
      <c r="B33" s="98" t="s">
        <v>321</v>
      </c>
      <c r="C33" s="164">
        <v>0</v>
      </c>
      <c r="D33" s="105">
        <f t="shared" si="2"/>
        <v>0</v>
      </c>
      <c r="E33" s="105">
        <f t="shared" si="3"/>
        <v>0</v>
      </c>
      <c r="F33" s="164">
        <v>0</v>
      </c>
      <c r="G33" s="164">
        <v>0</v>
      </c>
      <c r="H33" s="164">
        <v>0</v>
      </c>
      <c r="I33" s="164">
        <v>0</v>
      </c>
      <c r="J33" s="164">
        <v>0</v>
      </c>
      <c r="K33" s="164">
        <v>0</v>
      </c>
      <c r="L33" s="164">
        <v>0</v>
      </c>
      <c r="M33" s="164">
        <v>0</v>
      </c>
      <c r="N33" s="164">
        <v>0</v>
      </c>
      <c r="O33" s="164">
        <v>0</v>
      </c>
      <c r="P33" s="164">
        <v>0</v>
      </c>
      <c r="Q33" s="164">
        <v>0</v>
      </c>
      <c r="R33" s="164">
        <v>0</v>
      </c>
      <c r="S33" s="252">
        <v>0</v>
      </c>
    </row>
    <row r="34" spans="1:19" s="22" customFormat="1" ht="12" customHeight="1">
      <c r="A34" s="479"/>
      <c r="B34" s="98" t="s">
        <v>332</v>
      </c>
      <c r="C34" s="105">
        <v>0</v>
      </c>
      <c r="D34" s="105">
        <f t="shared" si="2"/>
        <v>0</v>
      </c>
      <c r="E34" s="105">
        <f t="shared" si="3"/>
        <v>0</v>
      </c>
      <c r="F34" s="105">
        <v>0</v>
      </c>
      <c r="G34" s="105">
        <v>0</v>
      </c>
      <c r="H34" s="105">
        <v>0</v>
      </c>
      <c r="I34" s="105">
        <v>0</v>
      </c>
      <c r="J34" s="105">
        <v>0</v>
      </c>
      <c r="K34" s="105">
        <v>0</v>
      </c>
      <c r="L34" s="105">
        <v>0</v>
      </c>
      <c r="M34" s="105">
        <v>0</v>
      </c>
      <c r="N34" s="105">
        <v>0</v>
      </c>
      <c r="O34" s="105">
        <v>0</v>
      </c>
      <c r="P34" s="105">
        <v>0</v>
      </c>
      <c r="Q34" s="105">
        <v>0</v>
      </c>
      <c r="R34" s="105">
        <v>0</v>
      </c>
      <c r="S34" s="252">
        <v>0</v>
      </c>
    </row>
    <row r="35" spans="1:19" s="22" customFormat="1" ht="12" customHeight="1">
      <c r="A35" s="479"/>
      <c r="B35" s="98" t="s">
        <v>362</v>
      </c>
      <c r="C35" s="338">
        <v>0</v>
      </c>
      <c r="D35" s="338">
        <f t="shared" si="2"/>
        <v>0</v>
      </c>
      <c r="E35" s="338">
        <f t="shared" si="3"/>
        <v>0</v>
      </c>
      <c r="F35" s="338">
        <v>0</v>
      </c>
      <c r="G35" s="338">
        <v>0</v>
      </c>
      <c r="H35" s="338">
        <v>0</v>
      </c>
      <c r="I35" s="338">
        <v>0</v>
      </c>
      <c r="J35" s="338">
        <v>0</v>
      </c>
      <c r="K35" s="338">
        <v>0</v>
      </c>
      <c r="L35" s="338">
        <v>0</v>
      </c>
      <c r="M35" s="338">
        <v>0</v>
      </c>
      <c r="N35" s="338">
        <v>0</v>
      </c>
      <c r="O35" s="338">
        <v>0</v>
      </c>
      <c r="P35" s="338">
        <v>0</v>
      </c>
      <c r="Q35" s="338">
        <v>0</v>
      </c>
      <c r="R35" s="338">
        <v>0</v>
      </c>
      <c r="S35" s="336">
        <v>0</v>
      </c>
    </row>
    <row r="36" spans="1:19" s="22" customFormat="1" ht="12" customHeight="1">
      <c r="A36" s="479"/>
      <c r="B36" s="315" t="s">
        <v>347</v>
      </c>
      <c r="C36" s="91" t="s">
        <v>30</v>
      </c>
      <c r="D36" s="105"/>
      <c r="E36" s="105"/>
      <c r="F36" s="93" t="s">
        <v>30</v>
      </c>
      <c r="G36" s="93" t="s">
        <v>30</v>
      </c>
      <c r="H36" s="93"/>
      <c r="I36" s="93"/>
      <c r="J36" s="93"/>
      <c r="K36" s="93"/>
      <c r="L36" s="93" t="s">
        <v>30</v>
      </c>
      <c r="M36" s="93" t="s">
        <v>30</v>
      </c>
      <c r="N36" s="93" t="s">
        <v>30</v>
      </c>
      <c r="O36" s="93" t="s">
        <v>30</v>
      </c>
      <c r="P36" s="93" t="s">
        <v>30</v>
      </c>
      <c r="Q36" s="93" t="s">
        <v>30</v>
      </c>
      <c r="R36" s="93" t="s">
        <v>30</v>
      </c>
      <c r="S36" s="252"/>
    </row>
    <row r="37" spans="1:19" s="22" customFormat="1" ht="12" customHeight="1" hidden="1">
      <c r="A37" s="479"/>
      <c r="B37" s="25" t="s">
        <v>65</v>
      </c>
      <c r="C37" s="93" t="s">
        <v>71</v>
      </c>
      <c r="D37" s="105" t="s">
        <v>71</v>
      </c>
      <c r="E37" s="105">
        <f>SUM(H37:M37)</f>
        <v>0</v>
      </c>
      <c r="F37" s="93" t="s">
        <v>71</v>
      </c>
      <c r="G37" s="93" t="s">
        <v>71</v>
      </c>
      <c r="H37" s="93" t="s">
        <v>71</v>
      </c>
      <c r="I37" s="93">
        <v>0</v>
      </c>
      <c r="J37" s="93">
        <v>0</v>
      </c>
      <c r="K37" s="93">
        <v>0</v>
      </c>
      <c r="L37" s="93" t="s">
        <v>71</v>
      </c>
      <c r="M37" s="93" t="s">
        <v>71</v>
      </c>
      <c r="N37" s="93" t="s">
        <v>71</v>
      </c>
      <c r="O37" s="93" t="s">
        <v>71</v>
      </c>
      <c r="P37" s="93" t="s">
        <v>71</v>
      </c>
      <c r="Q37" s="93" t="s">
        <v>71</v>
      </c>
      <c r="R37" s="93" t="s">
        <v>71</v>
      </c>
      <c r="S37" s="252">
        <v>0</v>
      </c>
    </row>
    <row r="38" spans="1:19" s="22" customFormat="1" ht="12" customHeight="1" hidden="1">
      <c r="A38" s="479"/>
      <c r="B38" s="25" t="s">
        <v>101</v>
      </c>
      <c r="C38" s="93" t="s">
        <v>71</v>
      </c>
      <c r="D38" s="105" t="s">
        <v>71</v>
      </c>
      <c r="E38" s="105">
        <f>SUM(H38:M38)</f>
        <v>0</v>
      </c>
      <c r="F38" s="93" t="s">
        <v>71</v>
      </c>
      <c r="G38" s="93" t="s">
        <v>71</v>
      </c>
      <c r="H38" s="93" t="s">
        <v>71</v>
      </c>
      <c r="I38" s="93">
        <v>0</v>
      </c>
      <c r="J38" s="93">
        <v>0</v>
      </c>
      <c r="K38" s="93">
        <v>0</v>
      </c>
      <c r="L38" s="93" t="s">
        <v>71</v>
      </c>
      <c r="M38" s="93" t="s">
        <v>71</v>
      </c>
      <c r="N38" s="93" t="s">
        <v>71</v>
      </c>
      <c r="O38" s="93" t="s">
        <v>71</v>
      </c>
      <c r="P38" s="93" t="s">
        <v>71</v>
      </c>
      <c r="Q38" s="93" t="s">
        <v>71</v>
      </c>
      <c r="R38" s="93" t="s">
        <v>71</v>
      </c>
      <c r="S38" s="252">
        <v>0</v>
      </c>
    </row>
    <row r="39" spans="1:19" s="22" customFormat="1" ht="12" customHeight="1" hidden="1">
      <c r="A39" s="479"/>
      <c r="B39" s="98" t="s">
        <v>192</v>
      </c>
      <c r="C39" s="164">
        <v>0</v>
      </c>
      <c r="D39" s="105">
        <v>0</v>
      </c>
      <c r="E39" s="105">
        <v>0</v>
      </c>
      <c r="F39" s="164">
        <v>0</v>
      </c>
      <c r="G39" s="164">
        <v>0</v>
      </c>
      <c r="H39" s="164">
        <v>0</v>
      </c>
      <c r="I39" s="164">
        <v>0</v>
      </c>
      <c r="J39" s="164">
        <v>0</v>
      </c>
      <c r="K39" s="164">
        <v>0</v>
      </c>
      <c r="L39" s="164">
        <v>0</v>
      </c>
      <c r="M39" s="164">
        <v>0</v>
      </c>
      <c r="N39" s="164">
        <v>0</v>
      </c>
      <c r="O39" s="164">
        <v>0</v>
      </c>
      <c r="P39" s="164">
        <v>0</v>
      </c>
      <c r="Q39" s="164">
        <v>0</v>
      </c>
      <c r="R39" s="164">
        <v>0</v>
      </c>
      <c r="S39" s="252">
        <v>0</v>
      </c>
    </row>
    <row r="40" spans="1:19" s="22" customFormat="1" ht="12" customHeight="1" hidden="1">
      <c r="A40" s="479"/>
      <c r="B40" s="98" t="s">
        <v>166</v>
      </c>
      <c r="C40" s="164">
        <v>0</v>
      </c>
      <c r="D40" s="105">
        <v>0</v>
      </c>
      <c r="E40" s="105">
        <v>0</v>
      </c>
      <c r="F40" s="164">
        <v>0</v>
      </c>
      <c r="G40" s="164">
        <v>0</v>
      </c>
      <c r="H40" s="164">
        <v>0</v>
      </c>
      <c r="I40" s="164">
        <v>0</v>
      </c>
      <c r="J40" s="164">
        <v>0</v>
      </c>
      <c r="K40" s="164">
        <v>0</v>
      </c>
      <c r="L40" s="164">
        <v>0</v>
      </c>
      <c r="M40" s="164">
        <v>0</v>
      </c>
      <c r="N40" s="164">
        <v>0</v>
      </c>
      <c r="O40" s="164">
        <v>0</v>
      </c>
      <c r="P40" s="164">
        <v>0</v>
      </c>
      <c r="Q40" s="164">
        <v>0</v>
      </c>
      <c r="R40" s="164">
        <v>0</v>
      </c>
      <c r="S40" s="252">
        <v>0</v>
      </c>
    </row>
    <row r="41" spans="1:19" s="22" customFormat="1" ht="12" customHeight="1" hidden="1">
      <c r="A41" s="479"/>
      <c r="B41" s="98" t="s">
        <v>167</v>
      </c>
      <c r="C41" s="164">
        <v>0</v>
      </c>
      <c r="D41" s="105">
        <v>0</v>
      </c>
      <c r="E41" s="105">
        <v>0</v>
      </c>
      <c r="F41" s="164">
        <v>0</v>
      </c>
      <c r="G41" s="164">
        <v>0</v>
      </c>
      <c r="H41" s="164">
        <v>0</v>
      </c>
      <c r="I41" s="164">
        <v>0</v>
      </c>
      <c r="J41" s="164">
        <v>0</v>
      </c>
      <c r="K41" s="164">
        <v>0</v>
      </c>
      <c r="L41" s="164">
        <v>0</v>
      </c>
      <c r="M41" s="164">
        <v>0</v>
      </c>
      <c r="N41" s="164">
        <v>0</v>
      </c>
      <c r="O41" s="164">
        <v>0</v>
      </c>
      <c r="P41" s="164">
        <v>0</v>
      </c>
      <c r="Q41" s="164">
        <v>0</v>
      </c>
      <c r="R41" s="164">
        <v>0</v>
      </c>
      <c r="S41" s="252">
        <v>0</v>
      </c>
    </row>
    <row r="42" spans="1:19" s="22" customFormat="1" ht="12" customHeight="1" hidden="1">
      <c r="A42" s="479"/>
      <c r="B42" s="98" t="s">
        <v>169</v>
      </c>
      <c r="C42" s="164">
        <v>0</v>
      </c>
      <c r="D42" s="105">
        <v>0</v>
      </c>
      <c r="E42" s="105">
        <v>0</v>
      </c>
      <c r="F42" s="164">
        <v>0</v>
      </c>
      <c r="G42" s="164">
        <v>0</v>
      </c>
      <c r="H42" s="164">
        <v>0</v>
      </c>
      <c r="I42" s="164">
        <v>0</v>
      </c>
      <c r="J42" s="164">
        <v>0</v>
      </c>
      <c r="K42" s="164">
        <v>0</v>
      </c>
      <c r="L42" s="164">
        <v>0</v>
      </c>
      <c r="M42" s="164">
        <v>0</v>
      </c>
      <c r="N42" s="164">
        <v>0</v>
      </c>
      <c r="O42" s="164">
        <v>0</v>
      </c>
      <c r="P42" s="164">
        <v>0</v>
      </c>
      <c r="Q42" s="164">
        <v>0</v>
      </c>
      <c r="R42" s="164">
        <v>0</v>
      </c>
      <c r="S42" s="252">
        <v>0</v>
      </c>
    </row>
    <row r="43" spans="1:19" s="22" customFormat="1" ht="12" customHeight="1" hidden="1">
      <c r="A43" s="479"/>
      <c r="B43" s="98" t="s">
        <v>193</v>
      </c>
      <c r="C43" s="164">
        <v>0</v>
      </c>
      <c r="D43" s="105">
        <f aca="true" t="shared" si="4" ref="D43:D51">+E43+N43+O43+P43+Q43+R43</f>
        <v>0</v>
      </c>
      <c r="E43" s="105">
        <f aca="true" t="shared" si="5" ref="E43:E51">SUM(H43:M43)</f>
        <v>0</v>
      </c>
      <c r="F43" s="164">
        <v>0</v>
      </c>
      <c r="G43" s="164">
        <v>0</v>
      </c>
      <c r="H43" s="164">
        <v>0</v>
      </c>
      <c r="I43" s="164">
        <v>0</v>
      </c>
      <c r="J43" s="164">
        <v>0</v>
      </c>
      <c r="K43" s="164">
        <v>0</v>
      </c>
      <c r="L43" s="164">
        <v>0</v>
      </c>
      <c r="M43" s="164">
        <v>0</v>
      </c>
      <c r="N43" s="164">
        <v>0</v>
      </c>
      <c r="O43" s="164">
        <v>0</v>
      </c>
      <c r="P43" s="164">
        <v>0</v>
      </c>
      <c r="Q43" s="164">
        <v>0</v>
      </c>
      <c r="R43" s="164">
        <v>0</v>
      </c>
      <c r="S43" s="252">
        <v>0</v>
      </c>
    </row>
    <row r="44" spans="1:19" s="22" customFormat="1" ht="12" customHeight="1" hidden="1">
      <c r="A44" s="479"/>
      <c r="B44" s="98" t="s">
        <v>203</v>
      </c>
      <c r="C44" s="164">
        <v>0</v>
      </c>
      <c r="D44" s="105">
        <f t="shared" si="4"/>
        <v>0</v>
      </c>
      <c r="E44" s="105">
        <f t="shared" si="5"/>
        <v>0</v>
      </c>
      <c r="F44" s="164">
        <v>0</v>
      </c>
      <c r="G44" s="164">
        <v>0</v>
      </c>
      <c r="H44" s="164">
        <v>0</v>
      </c>
      <c r="I44" s="164">
        <v>0</v>
      </c>
      <c r="J44" s="164">
        <v>0</v>
      </c>
      <c r="K44" s="164">
        <v>0</v>
      </c>
      <c r="L44" s="164">
        <v>0</v>
      </c>
      <c r="M44" s="164">
        <v>0</v>
      </c>
      <c r="N44" s="164">
        <v>0</v>
      </c>
      <c r="O44" s="164">
        <v>0</v>
      </c>
      <c r="P44" s="164">
        <v>0</v>
      </c>
      <c r="Q44" s="164">
        <v>0</v>
      </c>
      <c r="R44" s="164">
        <v>0</v>
      </c>
      <c r="S44" s="252">
        <v>0</v>
      </c>
    </row>
    <row r="45" spans="1:19" s="22" customFormat="1" ht="12" customHeight="1" hidden="1">
      <c r="A45" s="479"/>
      <c r="B45" s="98" t="s">
        <v>210</v>
      </c>
      <c r="C45" s="164">
        <v>0</v>
      </c>
      <c r="D45" s="105">
        <f t="shared" si="4"/>
        <v>0</v>
      </c>
      <c r="E45" s="105">
        <f t="shared" si="5"/>
        <v>0</v>
      </c>
      <c r="F45" s="164">
        <v>0</v>
      </c>
      <c r="G45" s="164">
        <v>0</v>
      </c>
      <c r="H45" s="164">
        <v>0</v>
      </c>
      <c r="I45" s="164">
        <v>0</v>
      </c>
      <c r="J45" s="164">
        <v>0</v>
      </c>
      <c r="K45" s="164">
        <v>0</v>
      </c>
      <c r="L45" s="164">
        <v>0</v>
      </c>
      <c r="M45" s="164">
        <v>0</v>
      </c>
      <c r="N45" s="164">
        <v>0</v>
      </c>
      <c r="O45" s="164">
        <v>0</v>
      </c>
      <c r="P45" s="164">
        <v>0</v>
      </c>
      <c r="Q45" s="164">
        <v>0</v>
      </c>
      <c r="R45" s="164">
        <v>0</v>
      </c>
      <c r="S45" s="252">
        <v>0</v>
      </c>
    </row>
    <row r="46" spans="1:19" s="22" customFormat="1" ht="12" customHeight="1" hidden="1">
      <c r="A46" s="479"/>
      <c r="B46" s="98" t="s">
        <v>237</v>
      </c>
      <c r="C46" s="164">
        <v>0</v>
      </c>
      <c r="D46" s="105">
        <f t="shared" si="4"/>
        <v>0</v>
      </c>
      <c r="E46" s="105">
        <f t="shared" si="5"/>
        <v>0</v>
      </c>
      <c r="F46" s="164">
        <v>0</v>
      </c>
      <c r="G46" s="164">
        <v>0</v>
      </c>
      <c r="H46" s="164">
        <v>0</v>
      </c>
      <c r="I46" s="164">
        <v>0</v>
      </c>
      <c r="J46" s="164">
        <v>0</v>
      </c>
      <c r="K46" s="164">
        <v>0</v>
      </c>
      <c r="L46" s="164">
        <v>0</v>
      </c>
      <c r="M46" s="164">
        <v>0</v>
      </c>
      <c r="N46" s="164">
        <v>0</v>
      </c>
      <c r="O46" s="164">
        <v>0</v>
      </c>
      <c r="P46" s="164">
        <v>0</v>
      </c>
      <c r="Q46" s="164">
        <v>0</v>
      </c>
      <c r="R46" s="164">
        <v>0</v>
      </c>
      <c r="S46" s="252">
        <v>0</v>
      </c>
    </row>
    <row r="47" spans="1:19" s="22" customFormat="1" ht="12" customHeight="1" hidden="1">
      <c r="A47" s="479"/>
      <c r="B47" s="98" t="s">
        <v>243</v>
      </c>
      <c r="C47" s="164">
        <v>0</v>
      </c>
      <c r="D47" s="105">
        <f t="shared" si="4"/>
        <v>0</v>
      </c>
      <c r="E47" s="105">
        <f t="shared" si="5"/>
        <v>0</v>
      </c>
      <c r="F47" s="164">
        <v>0</v>
      </c>
      <c r="G47" s="164">
        <v>0</v>
      </c>
      <c r="H47" s="164">
        <v>0</v>
      </c>
      <c r="I47" s="164">
        <v>0</v>
      </c>
      <c r="J47" s="164">
        <v>0</v>
      </c>
      <c r="K47" s="164">
        <v>0</v>
      </c>
      <c r="L47" s="164">
        <v>0</v>
      </c>
      <c r="M47" s="164">
        <v>0</v>
      </c>
      <c r="N47" s="164">
        <v>0</v>
      </c>
      <c r="O47" s="164">
        <v>0</v>
      </c>
      <c r="P47" s="164">
        <v>0</v>
      </c>
      <c r="Q47" s="164">
        <v>0</v>
      </c>
      <c r="R47" s="164">
        <v>0</v>
      </c>
      <c r="S47" s="252">
        <v>0</v>
      </c>
    </row>
    <row r="48" spans="1:19" s="22" customFormat="1" ht="12" customHeight="1" hidden="1">
      <c r="A48" s="479"/>
      <c r="B48" s="98" t="s">
        <v>249</v>
      </c>
      <c r="C48" s="164">
        <v>0</v>
      </c>
      <c r="D48" s="105">
        <f t="shared" si="4"/>
        <v>0</v>
      </c>
      <c r="E48" s="105">
        <f t="shared" si="5"/>
        <v>0</v>
      </c>
      <c r="F48" s="164">
        <v>0</v>
      </c>
      <c r="G48" s="164">
        <v>0</v>
      </c>
      <c r="H48" s="164">
        <v>0</v>
      </c>
      <c r="I48" s="164">
        <v>0</v>
      </c>
      <c r="J48" s="164">
        <v>0</v>
      </c>
      <c r="K48" s="164">
        <v>0</v>
      </c>
      <c r="L48" s="164">
        <v>0</v>
      </c>
      <c r="M48" s="164">
        <v>0</v>
      </c>
      <c r="N48" s="164">
        <v>0</v>
      </c>
      <c r="O48" s="164">
        <v>0</v>
      </c>
      <c r="P48" s="164">
        <v>0</v>
      </c>
      <c r="Q48" s="164">
        <v>0</v>
      </c>
      <c r="R48" s="164">
        <v>0</v>
      </c>
      <c r="S48" s="252">
        <v>0</v>
      </c>
    </row>
    <row r="49" spans="1:19" s="22" customFormat="1" ht="12" customHeight="1" hidden="1">
      <c r="A49" s="479"/>
      <c r="B49" s="98" t="s">
        <v>257</v>
      </c>
      <c r="C49" s="164">
        <v>0</v>
      </c>
      <c r="D49" s="105">
        <f t="shared" si="4"/>
        <v>0</v>
      </c>
      <c r="E49" s="105">
        <f t="shared" si="5"/>
        <v>0</v>
      </c>
      <c r="F49" s="164">
        <v>0</v>
      </c>
      <c r="G49" s="164">
        <v>0</v>
      </c>
      <c r="H49" s="164">
        <v>0</v>
      </c>
      <c r="I49" s="164">
        <v>0</v>
      </c>
      <c r="J49" s="164">
        <v>0</v>
      </c>
      <c r="K49" s="164">
        <v>0</v>
      </c>
      <c r="L49" s="164">
        <v>0</v>
      </c>
      <c r="M49" s="164">
        <v>0</v>
      </c>
      <c r="N49" s="164">
        <v>0</v>
      </c>
      <c r="O49" s="164">
        <v>0</v>
      </c>
      <c r="P49" s="164">
        <v>0</v>
      </c>
      <c r="Q49" s="164">
        <v>0</v>
      </c>
      <c r="R49" s="164">
        <v>0</v>
      </c>
      <c r="S49" s="252">
        <v>0</v>
      </c>
    </row>
    <row r="50" spans="1:19" s="22" customFormat="1" ht="12" customHeight="1" hidden="1">
      <c r="A50" s="479"/>
      <c r="B50" s="98" t="s">
        <v>268</v>
      </c>
      <c r="C50" s="164">
        <v>3</v>
      </c>
      <c r="D50" s="105">
        <f t="shared" si="4"/>
        <v>4</v>
      </c>
      <c r="E50" s="105">
        <f t="shared" si="5"/>
        <v>4</v>
      </c>
      <c r="F50" s="164">
        <v>0</v>
      </c>
      <c r="G50" s="164">
        <v>0</v>
      </c>
      <c r="H50" s="164">
        <v>0</v>
      </c>
      <c r="I50" s="164">
        <v>0</v>
      </c>
      <c r="J50" s="164">
        <v>0</v>
      </c>
      <c r="K50" s="164">
        <v>0</v>
      </c>
      <c r="L50" s="164">
        <v>0</v>
      </c>
      <c r="M50" s="164">
        <v>4</v>
      </c>
      <c r="N50" s="164">
        <v>0</v>
      </c>
      <c r="O50" s="164">
        <v>0</v>
      </c>
      <c r="P50" s="164">
        <v>0</v>
      </c>
      <c r="Q50" s="164">
        <v>0</v>
      </c>
      <c r="R50" s="164">
        <v>0</v>
      </c>
      <c r="S50" s="252">
        <f>+ROUND((E50+N50)/(E50+N50+O50)*100,2)</f>
        <v>100</v>
      </c>
    </row>
    <row r="51" spans="1:19" s="22" customFormat="1" ht="12" customHeight="1" hidden="1">
      <c r="A51" s="479"/>
      <c r="B51" s="98" t="s">
        <v>275</v>
      </c>
      <c r="C51" s="164">
        <v>0</v>
      </c>
      <c r="D51" s="105">
        <f t="shared" si="4"/>
        <v>0</v>
      </c>
      <c r="E51" s="105">
        <f t="shared" si="5"/>
        <v>0</v>
      </c>
      <c r="F51" s="164">
        <v>0</v>
      </c>
      <c r="G51" s="164">
        <v>0</v>
      </c>
      <c r="H51" s="164">
        <v>0</v>
      </c>
      <c r="I51" s="164">
        <v>0</v>
      </c>
      <c r="J51" s="164">
        <v>0</v>
      </c>
      <c r="K51" s="164">
        <v>0</v>
      </c>
      <c r="L51" s="164">
        <v>0</v>
      </c>
      <c r="M51" s="164">
        <v>0</v>
      </c>
      <c r="N51" s="164">
        <v>0</v>
      </c>
      <c r="O51" s="164">
        <v>0</v>
      </c>
      <c r="P51" s="164">
        <v>0</v>
      </c>
      <c r="Q51" s="164">
        <v>0</v>
      </c>
      <c r="R51" s="164">
        <v>0</v>
      </c>
      <c r="S51" s="252">
        <v>0</v>
      </c>
    </row>
    <row r="52" spans="1:19" s="22" customFormat="1" ht="12" customHeight="1">
      <c r="A52" s="479"/>
      <c r="B52" s="98" t="s">
        <v>303</v>
      </c>
      <c r="C52" s="164">
        <v>0</v>
      </c>
      <c r="D52" s="105">
        <f>+E52+N52+O52+P52+Q52+R52</f>
        <v>0</v>
      </c>
      <c r="E52" s="105">
        <f>SUM(H52:M52)</f>
        <v>0</v>
      </c>
      <c r="F52" s="164">
        <v>0</v>
      </c>
      <c r="G52" s="164">
        <v>0</v>
      </c>
      <c r="H52" s="164">
        <v>0</v>
      </c>
      <c r="I52" s="164">
        <v>0</v>
      </c>
      <c r="J52" s="164">
        <v>0</v>
      </c>
      <c r="K52" s="164">
        <v>0</v>
      </c>
      <c r="L52" s="164">
        <v>0</v>
      </c>
      <c r="M52" s="164">
        <v>0</v>
      </c>
      <c r="N52" s="164">
        <v>0</v>
      </c>
      <c r="O52" s="164">
        <v>0</v>
      </c>
      <c r="P52" s="164">
        <v>0</v>
      </c>
      <c r="Q52" s="164">
        <v>0</v>
      </c>
      <c r="R52" s="164">
        <v>0</v>
      </c>
      <c r="S52" s="252">
        <v>0</v>
      </c>
    </row>
    <row r="53" spans="1:19" s="22" customFormat="1" ht="12" customHeight="1">
      <c r="A53" s="479"/>
      <c r="B53" s="98" t="s">
        <v>314</v>
      </c>
      <c r="C53" s="164">
        <v>0</v>
      </c>
      <c r="D53" s="105">
        <f>+E53+N53+O53+P53+Q53+R53</f>
        <v>0</v>
      </c>
      <c r="E53" s="105">
        <f>SUM(H53:M53)</f>
        <v>0</v>
      </c>
      <c r="F53" s="164">
        <v>0</v>
      </c>
      <c r="G53" s="164">
        <v>0</v>
      </c>
      <c r="H53" s="164">
        <v>0</v>
      </c>
      <c r="I53" s="164">
        <v>0</v>
      </c>
      <c r="J53" s="164">
        <v>0</v>
      </c>
      <c r="K53" s="164">
        <v>0</v>
      </c>
      <c r="L53" s="164">
        <v>0</v>
      </c>
      <c r="M53" s="164">
        <v>0</v>
      </c>
      <c r="N53" s="164">
        <v>0</v>
      </c>
      <c r="O53" s="164">
        <v>0</v>
      </c>
      <c r="P53" s="164">
        <v>0</v>
      </c>
      <c r="Q53" s="164">
        <v>0</v>
      </c>
      <c r="R53" s="164">
        <v>0</v>
      </c>
      <c r="S53" s="252">
        <v>0</v>
      </c>
    </row>
    <row r="54" spans="1:19" s="22" customFormat="1" ht="12" customHeight="1">
      <c r="A54" s="479"/>
      <c r="B54" s="98" t="s">
        <v>321</v>
      </c>
      <c r="C54" s="164">
        <v>2</v>
      </c>
      <c r="D54" s="105">
        <f>+E54+N54+O54+P54+Q54+R54</f>
        <v>2</v>
      </c>
      <c r="E54" s="105">
        <f>SUM(H54:M54)</f>
        <v>2</v>
      </c>
      <c r="F54" s="164">
        <v>0</v>
      </c>
      <c r="G54" s="164">
        <v>0</v>
      </c>
      <c r="H54" s="164">
        <v>0</v>
      </c>
      <c r="I54" s="164">
        <v>0</v>
      </c>
      <c r="J54" s="164">
        <v>0</v>
      </c>
      <c r="K54" s="164">
        <v>0</v>
      </c>
      <c r="L54" s="164">
        <v>1</v>
      </c>
      <c r="M54" s="164">
        <v>1</v>
      </c>
      <c r="N54" s="164">
        <v>0</v>
      </c>
      <c r="O54" s="164">
        <v>0</v>
      </c>
      <c r="P54" s="164">
        <v>0</v>
      </c>
      <c r="Q54" s="164">
        <v>0</v>
      </c>
      <c r="R54" s="164">
        <v>0</v>
      </c>
      <c r="S54" s="252">
        <f>+ROUND((E54+N54)/(E54+N54+O54)*100,2)</f>
        <v>100</v>
      </c>
    </row>
    <row r="55" spans="1:19" s="22" customFormat="1" ht="12" customHeight="1">
      <c r="A55" s="479"/>
      <c r="B55" s="98" t="s">
        <v>332</v>
      </c>
      <c r="C55" s="105">
        <v>0</v>
      </c>
      <c r="D55" s="105">
        <f>+E55+N55+O55+P55+Q55+R55</f>
        <v>0</v>
      </c>
      <c r="E55" s="105">
        <f>SUM(H55:M55)</f>
        <v>0</v>
      </c>
      <c r="F55" s="105">
        <v>0</v>
      </c>
      <c r="G55" s="105">
        <v>0</v>
      </c>
      <c r="H55" s="105">
        <v>0</v>
      </c>
      <c r="I55" s="105">
        <v>0</v>
      </c>
      <c r="J55" s="105">
        <v>0</v>
      </c>
      <c r="K55" s="105">
        <v>0</v>
      </c>
      <c r="L55" s="105">
        <v>0</v>
      </c>
      <c r="M55" s="105">
        <v>0</v>
      </c>
      <c r="N55" s="105">
        <v>0</v>
      </c>
      <c r="O55" s="105">
        <v>0</v>
      </c>
      <c r="P55" s="105">
        <v>0</v>
      </c>
      <c r="Q55" s="105">
        <v>0</v>
      </c>
      <c r="R55" s="105">
        <v>0</v>
      </c>
      <c r="S55" s="252">
        <v>0</v>
      </c>
    </row>
    <row r="56" spans="1:19" s="22" customFormat="1" ht="12" customHeight="1">
      <c r="A56" s="479"/>
      <c r="B56" s="98" t="s">
        <v>362</v>
      </c>
      <c r="C56" s="338">
        <f>+D56+M56+N56+O56+P56+Q56</f>
        <v>0</v>
      </c>
      <c r="D56" s="338">
        <f>+E56+N56+O56+P56+Q56+R56</f>
        <v>0</v>
      </c>
      <c r="E56" s="338">
        <f>SUM(H56:M56)</f>
        <v>0</v>
      </c>
      <c r="F56" s="338">
        <v>0</v>
      </c>
      <c r="G56" s="338">
        <v>0</v>
      </c>
      <c r="H56" s="338">
        <v>0</v>
      </c>
      <c r="I56" s="338">
        <v>0</v>
      </c>
      <c r="J56" s="338">
        <v>0</v>
      </c>
      <c r="K56" s="338">
        <v>0</v>
      </c>
      <c r="L56" s="338">
        <v>0</v>
      </c>
      <c r="M56" s="338">
        <v>0</v>
      </c>
      <c r="N56" s="338">
        <v>0</v>
      </c>
      <c r="O56" s="338">
        <v>0</v>
      </c>
      <c r="P56" s="338">
        <v>0</v>
      </c>
      <c r="Q56" s="338">
        <v>0</v>
      </c>
      <c r="R56" s="338">
        <v>0</v>
      </c>
      <c r="S56" s="336">
        <v>0</v>
      </c>
    </row>
    <row r="57" spans="1:19" s="22" customFormat="1" ht="12" customHeight="1">
      <c r="A57" s="479"/>
      <c r="B57" s="100" t="s">
        <v>72</v>
      </c>
      <c r="C57" s="93"/>
      <c r="D57" s="105"/>
      <c r="E57" s="105"/>
      <c r="F57" s="93"/>
      <c r="G57" s="93"/>
      <c r="H57" s="93"/>
      <c r="I57" s="93"/>
      <c r="J57" s="93"/>
      <c r="K57" s="93"/>
      <c r="L57" s="93"/>
      <c r="M57" s="93"/>
      <c r="N57" s="93"/>
      <c r="O57" s="93"/>
      <c r="P57" s="93"/>
      <c r="Q57" s="93"/>
      <c r="R57" s="93"/>
      <c r="S57" s="252"/>
    </row>
    <row r="58" spans="1:19" s="22" customFormat="1" ht="12" customHeight="1" hidden="1">
      <c r="A58" s="479"/>
      <c r="B58" s="25" t="s">
        <v>65</v>
      </c>
      <c r="C58" s="93">
        <v>3</v>
      </c>
      <c r="D58" s="105">
        <f>SUM(E58,N58:R58)</f>
        <v>5</v>
      </c>
      <c r="E58" s="105">
        <f>SUM(H58:M58)</f>
        <v>5</v>
      </c>
      <c r="F58" s="93">
        <v>0</v>
      </c>
      <c r="G58" s="93">
        <v>0</v>
      </c>
      <c r="H58" s="93">
        <v>3</v>
      </c>
      <c r="I58" s="93">
        <v>1</v>
      </c>
      <c r="J58" s="93">
        <v>0</v>
      </c>
      <c r="K58" s="93">
        <v>0</v>
      </c>
      <c r="L58" s="93">
        <v>0</v>
      </c>
      <c r="M58" s="93">
        <v>1</v>
      </c>
      <c r="N58" s="93">
        <v>0</v>
      </c>
      <c r="O58" s="93">
        <v>0</v>
      </c>
      <c r="P58" s="93">
        <v>0</v>
      </c>
      <c r="Q58" s="93">
        <v>0</v>
      </c>
      <c r="R58" s="93">
        <v>0</v>
      </c>
      <c r="S58" s="252">
        <f>(E58+N58)/D58*100</f>
        <v>100</v>
      </c>
    </row>
    <row r="59" spans="1:19" s="22" customFormat="1" ht="12" customHeight="1" hidden="1">
      <c r="A59" s="479"/>
      <c r="B59" s="25" t="s">
        <v>101</v>
      </c>
      <c r="C59" s="93">
        <v>3</v>
      </c>
      <c r="D59" s="105">
        <f>SUM(E59,N59:R59)</f>
        <v>3</v>
      </c>
      <c r="E59" s="105">
        <f>SUM(H59:M59)</f>
        <v>2</v>
      </c>
      <c r="F59" s="93">
        <v>0</v>
      </c>
      <c r="G59" s="93">
        <v>0</v>
      </c>
      <c r="H59" s="93">
        <v>2</v>
      </c>
      <c r="I59" s="93">
        <v>0</v>
      </c>
      <c r="J59" s="93">
        <v>0</v>
      </c>
      <c r="K59" s="93">
        <v>0</v>
      </c>
      <c r="L59" s="93">
        <v>0</v>
      </c>
      <c r="M59" s="93">
        <v>0</v>
      </c>
      <c r="N59" s="93">
        <v>0</v>
      </c>
      <c r="O59" s="93">
        <v>1</v>
      </c>
      <c r="P59" s="93">
        <v>0</v>
      </c>
      <c r="Q59" s="93">
        <v>0</v>
      </c>
      <c r="R59" s="93">
        <v>0</v>
      </c>
      <c r="S59" s="252">
        <f>(E59+N59)/D59*100</f>
        <v>66.66666666666666</v>
      </c>
    </row>
    <row r="60" spans="1:19" s="22" customFormat="1" ht="12" customHeight="1" hidden="1">
      <c r="A60" s="479"/>
      <c r="B60" s="98" t="s">
        <v>192</v>
      </c>
      <c r="C60" s="164">
        <v>0</v>
      </c>
      <c r="D60" s="105">
        <v>0</v>
      </c>
      <c r="E60" s="105">
        <v>0</v>
      </c>
      <c r="F60" s="164">
        <v>0</v>
      </c>
      <c r="G60" s="164">
        <v>0</v>
      </c>
      <c r="H60" s="164">
        <v>0</v>
      </c>
      <c r="I60" s="164">
        <v>0</v>
      </c>
      <c r="J60" s="164">
        <v>0</v>
      </c>
      <c r="K60" s="164">
        <v>0</v>
      </c>
      <c r="L60" s="164">
        <v>0</v>
      </c>
      <c r="M60" s="164">
        <v>0</v>
      </c>
      <c r="N60" s="164">
        <v>0</v>
      </c>
      <c r="O60" s="164">
        <v>0</v>
      </c>
      <c r="P60" s="164">
        <v>0</v>
      </c>
      <c r="Q60" s="164">
        <v>0</v>
      </c>
      <c r="R60" s="164">
        <v>0</v>
      </c>
      <c r="S60" s="252">
        <v>0</v>
      </c>
    </row>
    <row r="61" spans="1:19" s="22" customFormat="1" ht="12" customHeight="1" hidden="1">
      <c r="A61" s="479"/>
      <c r="B61" s="98" t="s">
        <v>166</v>
      </c>
      <c r="C61" s="164">
        <v>0</v>
      </c>
      <c r="D61" s="105">
        <v>0</v>
      </c>
      <c r="E61" s="105">
        <v>0</v>
      </c>
      <c r="F61" s="164">
        <v>0</v>
      </c>
      <c r="G61" s="164">
        <v>0</v>
      </c>
      <c r="H61" s="164">
        <v>0</v>
      </c>
      <c r="I61" s="164">
        <v>0</v>
      </c>
      <c r="J61" s="164">
        <v>0</v>
      </c>
      <c r="K61" s="164">
        <v>0</v>
      </c>
      <c r="L61" s="164">
        <v>0</v>
      </c>
      <c r="M61" s="164">
        <v>0</v>
      </c>
      <c r="N61" s="164">
        <v>0</v>
      </c>
      <c r="O61" s="164">
        <v>0</v>
      </c>
      <c r="P61" s="164">
        <v>0</v>
      </c>
      <c r="Q61" s="164">
        <v>0</v>
      </c>
      <c r="R61" s="164">
        <v>0</v>
      </c>
      <c r="S61" s="252">
        <v>0</v>
      </c>
    </row>
    <row r="62" spans="1:19" s="22" customFormat="1" ht="12" customHeight="1" hidden="1">
      <c r="A62" s="479"/>
      <c r="B62" s="98" t="s">
        <v>167</v>
      </c>
      <c r="C62" s="164">
        <v>0</v>
      </c>
      <c r="D62" s="105">
        <v>0</v>
      </c>
      <c r="E62" s="105">
        <v>0</v>
      </c>
      <c r="F62" s="164">
        <v>0</v>
      </c>
      <c r="G62" s="164">
        <v>0</v>
      </c>
      <c r="H62" s="164">
        <v>0</v>
      </c>
      <c r="I62" s="164">
        <v>0</v>
      </c>
      <c r="J62" s="164">
        <v>0</v>
      </c>
      <c r="K62" s="164">
        <v>0</v>
      </c>
      <c r="L62" s="164">
        <v>0</v>
      </c>
      <c r="M62" s="164">
        <v>0</v>
      </c>
      <c r="N62" s="164">
        <v>0</v>
      </c>
      <c r="O62" s="164">
        <v>0</v>
      </c>
      <c r="P62" s="164">
        <v>0</v>
      </c>
      <c r="Q62" s="164">
        <v>0</v>
      </c>
      <c r="R62" s="164">
        <v>0</v>
      </c>
      <c r="S62" s="252">
        <v>0</v>
      </c>
    </row>
    <row r="63" spans="1:19" s="22" customFormat="1" ht="12" customHeight="1" hidden="1">
      <c r="A63" s="479"/>
      <c r="B63" s="98" t="s">
        <v>169</v>
      </c>
      <c r="C63" s="164">
        <v>1</v>
      </c>
      <c r="D63" s="105">
        <v>2</v>
      </c>
      <c r="E63" s="105">
        <v>2</v>
      </c>
      <c r="F63" s="164">
        <v>0</v>
      </c>
      <c r="G63" s="164">
        <v>0</v>
      </c>
      <c r="H63" s="164">
        <v>0</v>
      </c>
      <c r="I63" s="164">
        <v>1</v>
      </c>
      <c r="J63" s="164">
        <v>0</v>
      </c>
      <c r="K63" s="164">
        <v>0</v>
      </c>
      <c r="L63" s="164">
        <v>0</v>
      </c>
      <c r="M63" s="164">
        <v>1</v>
      </c>
      <c r="N63" s="164">
        <v>0</v>
      </c>
      <c r="O63" s="164">
        <v>0</v>
      </c>
      <c r="P63" s="164">
        <v>0</v>
      </c>
      <c r="Q63" s="164">
        <v>0</v>
      </c>
      <c r="R63" s="164">
        <v>0</v>
      </c>
      <c r="S63" s="252">
        <f>+ROUND((E63+N63)/D63*100,2)</f>
        <v>100</v>
      </c>
    </row>
    <row r="64" spans="1:19" s="22" customFormat="1" ht="12" customHeight="1" hidden="1">
      <c r="A64" s="479"/>
      <c r="B64" s="98" t="s">
        <v>193</v>
      </c>
      <c r="C64" s="164">
        <v>1</v>
      </c>
      <c r="D64" s="105">
        <f aca="true" t="shared" si="6" ref="D64:D69">+E64+N64+O64+P64+Q64+R64</f>
        <v>2</v>
      </c>
      <c r="E64" s="105">
        <f aca="true" t="shared" si="7" ref="E64:E69">SUM(H64:M64)</f>
        <v>0</v>
      </c>
      <c r="F64" s="164">
        <v>0</v>
      </c>
      <c r="G64" s="164">
        <v>0</v>
      </c>
      <c r="H64" s="164">
        <v>0</v>
      </c>
      <c r="I64" s="164">
        <v>0</v>
      </c>
      <c r="J64" s="164">
        <v>0</v>
      </c>
      <c r="K64" s="164">
        <v>0</v>
      </c>
      <c r="L64" s="164">
        <v>0</v>
      </c>
      <c r="M64" s="164">
        <v>0</v>
      </c>
      <c r="N64" s="164">
        <v>0</v>
      </c>
      <c r="O64" s="164">
        <v>0</v>
      </c>
      <c r="P64" s="164">
        <v>2</v>
      </c>
      <c r="Q64" s="164">
        <v>0</v>
      </c>
      <c r="R64" s="164">
        <v>0</v>
      </c>
      <c r="S64" s="252">
        <f>+ROUND((E64+N64)/D64*100,2)</f>
        <v>0</v>
      </c>
    </row>
    <row r="65" spans="1:19" s="22" customFormat="1" ht="12" customHeight="1" hidden="1">
      <c r="A65" s="479"/>
      <c r="B65" s="98" t="s">
        <v>203</v>
      </c>
      <c r="C65" s="164">
        <v>0</v>
      </c>
      <c r="D65" s="105">
        <f t="shared" si="6"/>
        <v>0</v>
      </c>
      <c r="E65" s="105">
        <f t="shared" si="7"/>
        <v>0</v>
      </c>
      <c r="F65" s="164">
        <v>0</v>
      </c>
      <c r="G65" s="164">
        <v>0</v>
      </c>
      <c r="H65" s="164">
        <v>0</v>
      </c>
      <c r="I65" s="164">
        <v>0</v>
      </c>
      <c r="J65" s="164">
        <v>0</v>
      </c>
      <c r="K65" s="164">
        <v>0</v>
      </c>
      <c r="L65" s="164">
        <v>0</v>
      </c>
      <c r="M65" s="164">
        <v>0</v>
      </c>
      <c r="N65" s="164">
        <v>0</v>
      </c>
      <c r="O65" s="164">
        <v>0</v>
      </c>
      <c r="P65" s="164">
        <v>0</v>
      </c>
      <c r="Q65" s="164">
        <v>0</v>
      </c>
      <c r="R65" s="164">
        <v>0</v>
      </c>
      <c r="S65" s="252">
        <v>0</v>
      </c>
    </row>
    <row r="66" spans="1:19" s="22" customFormat="1" ht="12" customHeight="1" hidden="1">
      <c r="A66" s="479"/>
      <c r="B66" s="98" t="s">
        <v>210</v>
      </c>
      <c r="C66" s="164">
        <v>0</v>
      </c>
      <c r="D66" s="105">
        <f t="shared" si="6"/>
        <v>0</v>
      </c>
      <c r="E66" s="105">
        <f t="shared" si="7"/>
        <v>0</v>
      </c>
      <c r="F66" s="164">
        <v>0</v>
      </c>
      <c r="G66" s="164">
        <v>0</v>
      </c>
      <c r="H66" s="164">
        <v>0</v>
      </c>
      <c r="I66" s="164">
        <v>0</v>
      </c>
      <c r="J66" s="164">
        <v>0</v>
      </c>
      <c r="K66" s="164">
        <v>0</v>
      </c>
      <c r="L66" s="164">
        <v>0</v>
      </c>
      <c r="M66" s="164">
        <v>0</v>
      </c>
      <c r="N66" s="164">
        <v>0</v>
      </c>
      <c r="O66" s="164">
        <v>0</v>
      </c>
      <c r="P66" s="164">
        <v>0</v>
      </c>
      <c r="Q66" s="164">
        <v>0</v>
      </c>
      <c r="R66" s="164">
        <v>0</v>
      </c>
      <c r="S66" s="252">
        <v>0</v>
      </c>
    </row>
    <row r="67" spans="1:19" s="22" customFormat="1" ht="12" customHeight="1" hidden="1">
      <c r="A67" s="479"/>
      <c r="B67" s="98" t="s">
        <v>237</v>
      </c>
      <c r="C67" s="164">
        <v>0</v>
      </c>
      <c r="D67" s="105">
        <f t="shared" si="6"/>
        <v>0</v>
      </c>
      <c r="E67" s="105">
        <f t="shared" si="7"/>
        <v>0</v>
      </c>
      <c r="F67" s="164">
        <v>0</v>
      </c>
      <c r="G67" s="164">
        <v>0</v>
      </c>
      <c r="H67" s="164">
        <v>0</v>
      </c>
      <c r="I67" s="164">
        <v>0</v>
      </c>
      <c r="J67" s="164">
        <v>0</v>
      </c>
      <c r="K67" s="164">
        <v>0</v>
      </c>
      <c r="L67" s="164">
        <v>0</v>
      </c>
      <c r="M67" s="164">
        <v>0</v>
      </c>
      <c r="N67" s="164">
        <v>0</v>
      </c>
      <c r="O67" s="164">
        <v>0</v>
      </c>
      <c r="P67" s="164">
        <v>0</v>
      </c>
      <c r="Q67" s="164">
        <v>0</v>
      </c>
      <c r="R67" s="164">
        <v>0</v>
      </c>
      <c r="S67" s="252">
        <v>0</v>
      </c>
    </row>
    <row r="68" spans="1:19" s="22" customFormat="1" ht="12" customHeight="1" hidden="1">
      <c r="A68" s="479"/>
      <c r="B68" s="98" t="s">
        <v>243</v>
      </c>
      <c r="C68" s="164">
        <v>0</v>
      </c>
      <c r="D68" s="105">
        <f t="shared" si="6"/>
        <v>0</v>
      </c>
      <c r="E68" s="105">
        <f t="shared" si="7"/>
        <v>0</v>
      </c>
      <c r="F68" s="164">
        <v>0</v>
      </c>
      <c r="G68" s="164">
        <v>0</v>
      </c>
      <c r="H68" s="164">
        <v>0</v>
      </c>
      <c r="I68" s="164">
        <v>0</v>
      </c>
      <c r="J68" s="164">
        <v>0</v>
      </c>
      <c r="K68" s="164">
        <v>0</v>
      </c>
      <c r="L68" s="164">
        <v>0</v>
      </c>
      <c r="M68" s="164">
        <v>0</v>
      </c>
      <c r="N68" s="164">
        <v>0</v>
      </c>
      <c r="O68" s="164">
        <v>0</v>
      </c>
      <c r="P68" s="164">
        <v>0</v>
      </c>
      <c r="Q68" s="164">
        <v>0</v>
      </c>
      <c r="R68" s="164">
        <v>0</v>
      </c>
      <c r="S68" s="252">
        <v>0</v>
      </c>
    </row>
    <row r="69" spans="1:19" s="22" customFormat="1" ht="12" customHeight="1" hidden="1">
      <c r="A69" s="479"/>
      <c r="B69" s="98" t="s">
        <v>249</v>
      </c>
      <c r="C69" s="164">
        <v>0</v>
      </c>
      <c r="D69" s="105">
        <f t="shared" si="6"/>
        <v>0</v>
      </c>
      <c r="E69" s="105">
        <f t="shared" si="7"/>
        <v>0</v>
      </c>
      <c r="F69" s="164">
        <v>0</v>
      </c>
      <c r="G69" s="164">
        <v>0</v>
      </c>
      <c r="H69" s="164">
        <v>0</v>
      </c>
      <c r="I69" s="164">
        <v>0</v>
      </c>
      <c r="J69" s="164">
        <v>0</v>
      </c>
      <c r="K69" s="164">
        <v>0</v>
      </c>
      <c r="L69" s="164">
        <v>0</v>
      </c>
      <c r="M69" s="164">
        <v>0</v>
      </c>
      <c r="N69" s="164">
        <v>0</v>
      </c>
      <c r="O69" s="164">
        <v>0</v>
      </c>
      <c r="P69" s="164">
        <v>0</v>
      </c>
      <c r="Q69" s="164">
        <v>0</v>
      </c>
      <c r="R69" s="164">
        <v>0</v>
      </c>
      <c r="S69" s="252">
        <v>0</v>
      </c>
    </row>
    <row r="70" spans="1:19" s="22" customFormat="1" ht="12" customHeight="1" hidden="1">
      <c r="A70" s="479"/>
      <c r="B70" s="98" t="s">
        <v>257</v>
      </c>
      <c r="C70" s="164">
        <v>0</v>
      </c>
      <c r="D70" s="105">
        <f aca="true" t="shared" si="8" ref="D70:D76">+E70+N70+O70+P70+Q70+R70</f>
        <v>0</v>
      </c>
      <c r="E70" s="105">
        <f aca="true" t="shared" si="9" ref="E70:E76">SUM(H70:M70)</f>
        <v>0</v>
      </c>
      <c r="F70" s="164">
        <v>0</v>
      </c>
      <c r="G70" s="164">
        <v>0</v>
      </c>
      <c r="H70" s="164">
        <v>0</v>
      </c>
      <c r="I70" s="164">
        <v>0</v>
      </c>
      <c r="J70" s="164">
        <v>0</v>
      </c>
      <c r="K70" s="164">
        <v>0</v>
      </c>
      <c r="L70" s="164">
        <v>0</v>
      </c>
      <c r="M70" s="164">
        <v>0</v>
      </c>
      <c r="N70" s="164">
        <v>0</v>
      </c>
      <c r="O70" s="164">
        <v>0</v>
      </c>
      <c r="P70" s="164">
        <v>0</v>
      </c>
      <c r="Q70" s="164">
        <v>0</v>
      </c>
      <c r="R70" s="164">
        <v>0</v>
      </c>
      <c r="S70" s="252">
        <v>0</v>
      </c>
    </row>
    <row r="71" spans="1:19" s="22" customFormat="1" ht="12" customHeight="1" hidden="1">
      <c r="A71" s="479"/>
      <c r="B71" s="98" t="s">
        <v>268</v>
      </c>
      <c r="C71" s="164">
        <v>0</v>
      </c>
      <c r="D71" s="105">
        <f t="shared" si="8"/>
        <v>0</v>
      </c>
      <c r="E71" s="105">
        <f t="shared" si="9"/>
        <v>0</v>
      </c>
      <c r="F71" s="164">
        <v>0</v>
      </c>
      <c r="G71" s="164">
        <v>0</v>
      </c>
      <c r="H71" s="164">
        <v>0</v>
      </c>
      <c r="I71" s="164">
        <v>0</v>
      </c>
      <c r="J71" s="164">
        <v>0</v>
      </c>
      <c r="K71" s="164">
        <v>0</v>
      </c>
      <c r="L71" s="164">
        <v>0</v>
      </c>
      <c r="M71" s="164">
        <v>0</v>
      </c>
      <c r="N71" s="164">
        <v>0</v>
      </c>
      <c r="O71" s="164">
        <v>0</v>
      </c>
      <c r="P71" s="164">
        <v>0</v>
      </c>
      <c r="Q71" s="164">
        <v>0</v>
      </c>
      <c r="R71" s="164">
        <v>0</v>
      </c>
      <c r="S71" s="252">
        <v>0</v>
      </c>
    </row>
    <row r="72" spans="1:19" s="22" customFormat="1" ht="12" customHeight="1" hidden="1">
      <c r="A72" s="479"/>
      <c r="B72" s="98" t="s">
        <v>275</v>
      </c>
      <c r="C72" s="164">
        <v>0</v>
      </c>
      <c r="D72" s="105">
        <f t="shared" si="8"/>
        <v>0</v>
      </c>
      <c r="E72" s="105">
        <f t="shared" si="9"/>
        <v>0</v>
      </c>
      <c r="F72" s="164">
        <v>0</v>
      </c>
      <c r="G72" s="164">
        <v>0</v>
      </c>
      <c r="H72" s="164">
        <v>0</v>
      </c>
      <c r="I72" s="164">
        <v>0</v>
      </c>
      <c r="J72" s="164">
        <v>0</v>
      </c>
      <c r="K72" s="164">
        <v>0</v>
      </c>
      <c r="L72" s="164">
        <v>0</v>
      </c>
      <c r="M72" s="164">
        <v>0</v>
      </c>
      <c r="N72" s="164">
        <v>0</v>
      </c>
      <c r="O72" s="164">
        <v>0</v>
      </c>
      <c r="P72" s="164">
        <v>0</v>
      </c>
      <c r="Q72" s="164">
        <v>0</v>
      </c>
      <c r="R72" s="164">
        <v>0</v>
      </c>
      <c r="S72" s="252">
        <v>0</v>
      </c>
    </row>
    <row r="73" spans="1:19" s="22" customFormat="1" ht="12" customHeight="1">
      <c r="A73" s="479"/>
      <c r="B73" s="98" t="s">
        <v>303</v>
      </c>
      <c r="C73" s="164">
        <v>0</v>
      </c>
      <c r="D73" s="105">
        <f t="shared" si="8"/>
        <v>0</v>
      </c>
      <c r="E73" s="105">
        <f t="shared" si="9"/>
        <v>0</v>
      </c>
      <c r="F73" s="164">
        <v>0</v>
      </c>
      <c r="G73" s="164">
        <v>0</v>
      </c>
      <c r="H73" s="164">
        <v>0</v>
      </c>
      <c r="I73" s="164">
        <v>0</v>
      </c>
      <c r="J73" s="164">
        <v>0</v>
      </c>
      <c r="K73" s="164">
        <v>0</v>
      </c>
      <c r="L73" s="164">
        <v>0</v>
      </c>
      <c r="M73" s="164">
        <v>0</v>
      </c>
      <c r="N73" s="164">
        <v>0</v>
      </c>
      <c r="O73" s="164">
        <v>0</v>
      </c>
      <c r="P73" s="164">
        <v>0</v>
      </c>
      <c r="Q73" s="164">
        <v>0</v>
      </c>
      <c r="R73" s="164">
        <v>0</v>
      </c>
      <c r="S73" s="252">
        <v>0</v>
      </c>
    </row>
    <row r="74" spans="1:19" s="22" customFormat="1" ht="12" customHeight="1">
      <c r="A74" s="479"/>
      <c r="B74" s="98" t="s">
        <v>314</v>
      </c>
      <c r="C74" s="164">
        <v>0</v>
      </c>
      <c r="D74" s="105">
        <f t="shared" si="8"/>
        <v>0</v>
      </c>
      <c r="E74" s="105">
        <f t="shared" si="9"/>
        <v>0</v>
      </c>
      <c r="F74" s="164">
        <v>0</v>
      </c>
      <c r="G74" s="164">
        <v>0</v>
      </c>
      <c r="H74" s="164">
        <v>0</v>
      </c>
      <c r="I74" s="164">
        <v>0</v>
      </c>
      <c r="J74" s="164">
        <v>0</v>
      </c>
      <c r="K74" s="164">
        <v>0</v>
      </c>
      <c r="L74" s="164">
        <v>0</v>
      </c>
      <c r="M74" s="164">
        <v>0</v>
      </c>
      <c r="N74" s="164">
        <v>0</v>
      </c>
      <c r="O74" s="164">
        <v>0</v>
      </c>
      <c r="P74" s="164">
        <v>0</v>
      </c>
      <c r="Q74" s="164">
        <v>0</v>
      </c>
      <c r="R74" s="164">
        <v>0</v>
      </c>
      <c r="S74" s="252">
        <v>0</v>
      </c>
    </row>
    <row r="75" spans="1:19" s="22" customFormat="1" ht="12" customHeight="1">
      <c r="A75" s="479"/>
      <c r="B75" s="98" t="s">
        <v>321</v>
      </c>
      <c r="C75" s="164">
        <v>0</v>
      </c>
      <c r="D75" s="105">
        <f t="shared" si="8"/>
        <v>0</v>
      </c>
      <c r="E75" s="105">
        <f t="shared" si="9"/>
        <v>0</v>
      </c>
      <c r="F75" s="164">
        <v>0</v>
      </c>
      <c r="G75" s="164">
        <v>0</v>
      </c>
      <c r="H75" s="164">
        <v>0</v>
      </c>
      <c r="I75" s="164">
        <v>0</v>
      </c>
      <c r="J75" s="164">
        <v>0</v>
      </c>
      <c r="K75" s="164">
        <v>0</v>
      </c>
      <c r="L75" s="164">
        <v>0</v>
      </c>
      <c r="M75" s="164">
        <v>0</v>
      </c>
      <c r="N75" s="164">
        <v>0</v>
      </c>
      <c r="O75" s="164">
        <v>0</v>
      </c>
      <c r="P75" s="164">
        <v>0</v>
      </c>
      <c r="Q75" s="164">
        <v>0</v>
      </c>
      <c r="R75" s="164">
        <v>0</v>
      </c>
      <c r="S75" s="252">
        <v>0</v>
      </c>
    </row>
    <row r="76" spans="1:19" s="22" customFormat="1" ht="12" customHeight="1">
      <c r="A76" s="479"/>
      <c r="B76" s="98" t="s">
        <v>332</v>
      </c>
      <c r="C76" s="105">
        <v>0</v>
      </c>
      <c r="D76" s="105">
        <f t="shared" si="8"/>
        <v>0</v>
      </c>
      <c r="E76" s="105">
        <f t="shared" si="9"/>
        <v>0</v>
      </c>
      <c r="F76" s="105"/>
      <c r="G76" s="105"/>
      <c r="H76" s="105"/>
      <c r="I76" s="105"/>
      <c r="J76" s="105"/>
      <c r="K76" s="105"/>
      <c r="L76" s="105"/>
      <c r="M76" s="105"/>
      <c r="N76" s="105"/>
      <c r="O76" s="105"/>
      <c r="P76" s="105"/>
      <c r="Q76" s="105"/>
      <c r="R76" s="105"/>
      <c r="S76" s="252"/>
    </row>
    <row r="77" spans="1:19" s="22" customFormat="1" ht="12" customHeight="1" hidden="1">
      <c r="A77" s="479"/>
      <c r="B77" s="100" t="s">
        <v>194</v>
      </c>
      <c r="C77" s="105">
        <v>0</v>
      </c>
      <c r="D77" s="105">
        <f aca="true" t="shared" si="10" ref="D77:D87">+E77+N77+O77+P77+Q77+R77</f>
        <v>0</v>
      </c>
      <c r="E77" s="105">
        <f aca="true" t="shared" si="11" ref="E77:E87">SUM(H77:M77)</f>
        <v>0</v>
      </c>
      <c r="F77" s="105"/>
      <c r="G77" s="105"/>
      <c r="H77" s="105"/>
      <c r="I77" s="105"/>
      <c r="J77" s="105"/>
      <c r="K77" s="105"/>
      <c r="L77" s="105"/>
      <c r="M77" s="105"/>
      <c r="N77" s="105"/>
      <c r="O77" s="105"/>
      <c r="P77" s="105"/>
      <c r="Q77" s="105"/>
      <c r="R77" s="105"/>
      <c r="S77" s="252"/>
    </row>
    <row r="78" spans="1:19" s="22" customFormat="1" ht="12" customHeight="1" hidden="1">
      <c r="A78" s="479"/>
      <c r="B78" s="25" t="s">
        <v>103</v>
      </c>
      <c r="C78" s="105">
        <v>0</v>
      </c>
      <c r="D78" s="105">
        <f t="shared" si="10"/>
        <v>0</v>
      </c>
      <c r="E78" s="105">
        <f t="shared" si="11"/>
        <v>0</v>
      </c>
      <c r="F78" s="105"/>
      <c r="G78" s="105"/>
      <c r="H78" s="105"/>
      <c r="I78" s="105"/>
      <c r="J78" s="105"/>
      <c r="K78" s="105"/>
      <c r="L78" s="105"/>
      <c r="M78" s="105"/>
      <c r="N78" s="105"/>
      <c r="O78" s="105"/>
      <c r="P78" s="105"/>
      <c r="Q78" s="105"/>
      <c r="R78" s="105"/>
      <c r="S78" s="252"/>
    </row>
    <row r="79" spans="1:19" s="22" customFormat="1" ht="12" customHeight="1" hidden="1">
      <c r="A79" s="479"/>
      <c r="B79" s="98" t="s">
        <v>192</v>
      </c>
      <c r="C79" s="105">
        <v>0</v>
      </c>
      <c r="D79" s="105">
        <f t="shared" si="10"/>
        <v>0</v>
      </c>
      <c r="E79" s="105">
        <f t="shared" si="11"/>
        <v>0</v>
      </c>
      <c r="F79" s="105"/>
      <c r="G79" s="105"/>
      <c r="H79" s="105"/>
      <c r="I79" s="105"/>
      <c r="J79" s="105"/>
      <c r="K79" s="105"/>
      <c r="L79" s="105"/>
      <c r="M79" s="105"/>
      <c r="N79" s="105"/>
      <c r="O79" s="105"/>
      <c r="P79" s="105"/>
      <c r="Q79" s="105"/>
      <c r="R79" s="105"/>
      <c r="S79" s="252"/>
    </row>
    <row r="80" spans="1:19" s="22" customFormat="1" ht="12" customHeight="1" hidden="1">
      <c r="A80" s="479"/>
      <c r="B80" s="98" t="s">
        <v>166</v>
      </c>
      <c r="C80" s="105">
        <v>0</v>
      </c>
      <c r="D80" s="105">
        <f t="shared" si="10"/>
        <v>0</v>
      </c>
      <c r="E80" s="105">
        <f t="shared" si="11"/>
        <v>0</v>
      </c>
      <c r="F80" s="105"/>
      <c r="G80" s="105"/>
      <c r="H80" s="105"/>
      <c r="I80" s="105"/>
      <c r="J80" s="105"/>
      <c r="K80" s="105"/>
      <c r="L80" s="105"/>
      <c r="M80" s="105"/>
      <c r="N80" s="105"/>
      <c r="O80" s="105"/>
      <c r="P80" s="105"/>
      <c r="Q80" s="105"/>
      <c r="R80" s="105"/>
      <c r="S80" s="252"/>
    </row>
    <row r="81" spans="1:19" s="22" customFormat="1" ht="12" customHeight="1" hidden="1">
      <c r="A81" s="479"/>
      <c r="B81" s="98" t="s">
        <v>167</v>
      </c>
      <c r="C81" s="105">
        <v>0</v>
      </c>
      <c r="D81" s="105">
        <f t="shared" si="10"/>
        <v>0</v>
      </c>
      <c r="E81" s="105">
        <f t="shared" si="11"/>
        <v>0</v>
      </c>
      <c r="F81" s="105"/>
      <c r="G81" s="105"/>
      <c r="H81" s="105"/>
      <c r="I81" s="105"/>
      <c r="J81" s="105"/>
      <c r="K81" s="105"/>
      <c r="L81" s="105"/>
      <c r="M81" s="105"/>
      <c r="N81" s="105"/>
      <c r="O81" s="105"/>
      <c r="P81" s="105"/>
      <c r="Q81" s="105"/>
      <c r="R81" s="105"/>
      <c r="S81" s="252"/>
    </row>
    <row r="82" spans="1:19" s="22" customFormat="1" ht="12" customHeight="1" hidden="1">
      <c r="A82" s="479"/>
      <c r="B82" s="98" t="s">
        <v>169</v>
      </c>
      <c r="C82" s="105">
        <v>0</v>
      </c>
      <c r="D82" s="105">
        <f t="shared" si="10"/>
        <v>0</v>
      </c>
      <c r="E82" s="105">
        <f t="shared" si="11"/>
        <v>0</v>
      </c>
      <c r="F82" s="105"/>
      <c r="G82" s="105"/>
      <c r="H82" s="105"/>
      <c r="I82" s="105"/>
      <c r="J82" s="105"/>
      <c r="K82" s="105"/>
      <c r="L82" s="105"/>
      <c r="M82" s="105"/>
      <c r="N82" s="105"/>
      <c r="O82" s="105"/>
      <c r="P82" s="105"/>
      <c r="Q82" s="105"/>
      <c r="R82" s="105"/>
      <c r="S82" s="252"/>
    </row>
    <row r="83" spans="1:19" s="22" customFormat="1" ht="12" customHeight="1" hidden="1">
      <c r="A83" s="479"/>
      <c r="B83" s="98" t="s">
        <v>193</v>
      </c>
      <c r="C83" s="105">
        <v>0</v>
      </c>
      <c r="D83" s="105">
        <f t="shared" si="10"/>
        <v>0</v>
      </c>
      <c r="E83" s="105">
        <f t="shared" si="11"/>
        <v>0</v>
      </c>
      <c r="F83" s="105"/>
      <c r="G83" s="105"/>
      <c r="H83" s="105"/>
      <c r="I83" s="105"/>
      <c r="J83" s="105"/>
      <c r="K83" s="105"/>
      <c r="L83" s="105"/>
      <c r="M83" s="105"/>
      <c r="N83" s="105"/>
      <c r="O83" s="105"/>
      <c r="P83" s="105"/>
      <c r="Q83" s="105"/>
      <c r="R83" s="105"/>
      <c r="S83" s="252"/>
    </row>
    <row r="84" spans="1:19" s="22" customFormat="1" ht="12" customHeight="1" hidden="1">
      <c r="A84" s="479"/>
      <c r="B84" s="98" t="s">
        <v>203</v>
      </c>
      <c r="C84" s="105">
        <v>0</v>
      </c>
      <c r="D84" s="105">
        <f t="shared" si="10"/>
        <v>0</v>
      </c>
      <c r="E84" s="105">
        <f t="shared" si="11"/>
        <v>0</v>
      </c>
      <c r="F84" s="105"/>
      <c r="G84" s="105"/>
      <c r="H84" s="105"/>
      <c r="I84" s="105"/>
      <c r="J84" s="105"/>
      <c r="K84" s="105"/>
      <c r="L84" s="105"/>
      <c r="M84" s="105"/>
      <c r="N84" s="105"/>
      <c r="O84" s="105"/>
      <c r="P84" s="105"/>
      <c r="Q84" s="105"/>
      <c r="R84" s="105"/>
      <c r="S84" s="252"/>
    </row>
    <row r="85" spans="1:19" s="22" customFormat="1" ht="12" customHeight="1" hidden="1">
      <c r="A85" s="479"/>
      <c r="B85" s="98" t="s">
        <v>210</v>
      </c>
      <c r="C85" s="105">
        <v>0</v>
      </c>
      <c r="D85" s="105">
        <f t="shared" si="10"/>
        <v>0</v>
      </c>
      <c r="E85" s="105">
        <f t="shared" si="11"/>
        <v>0</v>
      </c>
      <c r="F85" s="105"/>
      <c r="G85" s="105"/>
      <c r="H85" s="105"/>
      <c r="I85" s="105"/>
      <c r="J85" s="105"/>
      <c r="K85" s="105"/>
      <c r="L85" s="105"/>
      <c r="M85" s="105"/>
      <c r="N85" s="105"/>
      <c r="O85" s="105"/>
      <c r="P85" s="105"/>
      <c r="Q85" s="105"/>
      <c r="R85" s="105"/>
      <c r="S85" s="252"/>
    </row>
    <row r="86" spans="1:19" s="22" customFormat="1" ht="12" customHeight="1" hidden="1">
      <c r="A86" s="479"/>
      <c r="B86" s="98" t="s">
        <v>237</v>
      </c>
      <c r="C86" s="105">
        <v>0</v>
      </c>
      <c r="D86" s="105">
        <f t="shared" si="10"/>
        <v>0</v>
      </c>
      <c r="E86" s="105">
        <f t="shared" si="11"/>
        <v>0</v>
      </c>
      <c r="F86" s="105"/>
      <c r="G86" s="105"/>
      <c r="H86" s="105"/>
      <c r="I86" s="105"/>
      <c r="J86" s="105"/>
      <c r="K86" s="105"/>
      <c r="L86" s="105"/>
      <c r="M86" s="105"/>
      <c r="N86" s="105"/>
      <c r="O86" s="105"/>
      <c r="P86" s="105"/>
      <c r="Q86" s="105"/>
      <c r="R86" s="105"/>
      <c r="S86" s="252"/>
    </row>
    <row r="87" spans="1:19" s="22" customFormat="1" ht="12" customHeight="1">
      <c r="A87" s="479"/>
      <c r="B87" s="98" t="s">
        <v>361</v>
      </c>
      <c r="C87" s="338">
        <v>0</v>
      </c>
      <c r="D87" s="338">
        <f t="shared" si="10"/>
        <v>0</v>
      </c>
      <c r="E87" s="338">
        <f t="shared" si="11"/>
        <v>0</v>
      </c>
      <c r="F87" s="338">
        <v>0</v>
      </c>
      <c r="G87" s="338">
        <v>0</v>
      </c>
      <c r="H87" s="338">
        <v>0</v>
      </c>
      <c r="I87" s="338">
        <v>0</v>
      </c>
      <c r="J87" s="338">
        <v>0</v>
      </c>
      <c r="K87" s="338">
        <v>0</v>
      </c>
      <c r="L87" s="338">
        <v>0</v>
      </c>
      <c r="M87" s="338">
        <v>0</v>
      </c>
      <c r="N87" s="338">
        <v>0</v>
      </c>
      <c r="O87" s="338">
        <v>0</v>
      </c>
      <c r="P87" s="338">
        <v>0</v>
      </c>
      <c r="Q87" s="338">
        <v>0</v>
      </c>
      <c r="R87" s="338">
        <v>0</v>
      </c>
      <c r="S87" s="336">
        <v>0</v>
      </c>
    </row>
    <row r="88" spans="1:19" s="22" customFormat="1" ht="12" customHeight="1" hidden="1">
      <c r="A88" s="479"/>
      <c r="B88" s="98" t="s">
        <v>243</v>
      </c>
      <c r="C88" s="164">
        <v>0</v>
      </c>
      <c r="D88" s="105">
        <f>+E88+N88+O88+P88+Q88+R88</f>
        <v>0</v>
      </c>
      <c r="E88" s="105">
        <f>SUM(H88:M88)</f>
        <v>0</v>
      </c>
      <c r="F88" s="164">
        <v>0</v>
      </c>
      <c r="G88" s="164">
        <v>0</v>
      </c>
      <c r="H88" s="164">
        <v>0</v>
      </c>
      <c r="I88" s="164">
        <v>0</v>
      </c>
      <c r="J88" s="164">
        <v>0</v>
      </c>
      <c r="K88" s="164">
        <v>0</v>
      </c>
      <c r="L88" s="164">
        <v>0</v>
      </c>
      <c r="M88" s="164">
        <v>0</v>
      </c>
      <c r="N88" s="164">
        <v>0</v>
      </c>
      <c r="O88" s="164">
        <v>0</v>
      </c>
      <c r="P88" s="164">
        <v>0</v>
      </c>
      <c r="Q88" s="164">
        <v>0</v>
      </c>
      <c r="R88" s="164">
        <v>0</v>
      </c>
      <c r="S88" s="252">
        <v>0</v>
      </c>
    </row>
    <row r="89" spans="1:19" s="22" customFormat="1" ht="12" customHeight="1" hidden="1">
      <c r="A89" s="479"/>
      <c r="B89" s="98" t="s">
        <v>249</v>
      </c>
      <c r="C89" s="164">
        <v>1</v>
      </c>
      <c r="D89" s="105">
        <f>+E89+N89+O89+P89+Q89+R89</f>
        <v>3</v>
      </c>
      <c r="E89" s="105">
        <f>SUM(H89:M89)</f>
        <v>3</v>
      </c>
      <c r="F89" s="164">
        <v>0</v>
      </c>
      <c r="G89" s="164">
        <v>0</v>
      </c>
      <c r="H89" s="164">
        <v>3</v>
      </c>
      <c r="I89" s="164">
        <v>0</v>
      </c>
      <c r="J89" s="164">
        <v>0</v>
      </c>
      <c r="K89" s="164">
        <v>0</v>
      </c>
      <c r="L89" s="164">
        <v>0</v>
      </c>
      <c r="M89" s="164">
        <v>0</v>
      </c>
      <c r="N89" s="164">
        <v>0</v>
      </c>
      <c r="O89" s="164">
        <v>0</v>
      </c>
      <c r="P89" s="164">
        <v>0</v>
      </c>
      <c r="Q89" s="164">
        <v>0</v>
      </c>
      <c r="R89" s="164">
        <v>0</v>
      </c>
      <c r="S89" s="252">
        <f>+ROUND((E89+N89)/D89*100,2)</f>
        <v>100</v>
      </c>
    </row>
    <row r="90" spans="1:19" s="22" customFormat="1" ht="12" customHeight="1" hidden="1">
      <c r="A90" s="479"/>
      <c r="B90" s="98" t="s">
        <v>257</v>
      </c>
      <c r="C90" s="164">
        <v>0</v>
      </c>
      <c r="D90" s="105">
        <f>+E90+N90+O90+P90+Q90+R90</f>
        <v>0</v>
      </c>
      <c r="E90" s="105">
        <f>SUM(H90:M90)</f>
        <v>0</v>
      </c>
      <c r="F90" s="164">
        <v>0</v>
      </c>
      <c r="G90" s="164">
        <v>0</v>
      </c>
      <c r="H90" s="164">
        <v>0</v>
      </c>
      <c r="I90" s="164">
        <v>0</v>
      </c>
      <c r="J90" s="164">
        <v>0</v>
      </c>
      <c r="K90" s="164">
        <v>0</v>
      </c>
      <c r="L90" s="164">
        <v>0</v>
      </c>
      <c r="M90" s="164">
        <v>0</v>
      </c>
      <c r="N90" s="164">
        <v>0</v>
      </c>
      <c r="O90" s="164">
        <v>0</v>
      </c>
      <c r="P90" s="164">
        <v>0</v>
      </c>
      <c r="Q90" s="164">
        <v>0</v>
      </c>
      <c r="R90" s="164">
        <v>0</v>
      </c>
      <c r="S90" s="252">
        <v>0</v>
      </c>
    </row>
    <row r="91" spans="1:19" s="22" customFormat="1" ht="12" customHeight="1" hidden="1">
      <c r="A91" s="479"/>
      <c r="B91" s="98" t="s">
        <v>268</v>
      </c>
      <c r="C91" s="164">
        <v>0</v>
      </c>
      <c r="D91" s="105">
        <f aca="true" t="shared" si="12" ref="D91:D96">+E91+N91+O91+P91+Q91+R91</f>
        <v>0</v>
      </c>
      <c r="E91" s="105">
        <f aca="true" t="shared" si="13" ref="E91:E96">SUM(H91:M91)</f>
        <v>0</v>
      </c>
      <c r="F91" s="164">
        <v>0</v>
      </c>
      <c r="G91" s="164">
        <v>0</v>
      </c>
      <c r="H91" s="164">
        <v>0</v>
      </c>
      <c r="I91" s="164">
        <v>0</v>
      </c>
      <c r="J91" s="164">
        <v>0</v>
      </c>
      <c r="K91" s="164">
        <v>0</v>
      </c>
      <c r="L91" s="164">
        <v>0</v>
      </c>
      <c r="M91" s="164">
        <v>0</v>
      </c>
      <c r="N91" s="164">
        <v>0</v>
      </c>
      <c r="O91" s="164">
        <v>0</v>
      </c>
      <c r="P91" s="164">
        <v>0</v>
      </c>
      <c r="Q91" s="164">
        <v>0</v>
      </c>
      <c r="R91" s="164">
        <v>0</v>
      </c>
      <c r="S91" s="252">
        <v>0</v>
      </c>
    </row>
    <row r="92" spans="1:19" s="22" customFormat="1" ht="12" customHeight="1" hidden="1">
      <c r="A92" s="479"/>
      <c r="B92" s="98" t="s">
        <v>275</v>
      </c>
      <c r="C92" s="164">
        <v>0</v>
      </c>
      <c r="D92" s="105">
        <f t="shared" si="12"/>
        <v>0</v>
      </c>
      <c r="E92" s="105">
        <f t="shared" si="13"/>
        <v>0</v>
      </c>
      <c r="F92" s="164">
        <v>0</v>
      </c>
      <c r="G92" s="164">
        <v>0</v>
      </c>
      <c r="H92" s="164">
        <v>0</v>
      </c>
      <c r="I92" s="164">
        <v>0</v>
      </c>
      <c r="J92" s="164">
        <v>0</v>
      </c>
      <c r="K92" s="164">
        <v>0</v>
      </c>
      <c r="L92" s="164">
        <v>0</v>
      </c>
      <c r="M92" s="164">
        <v>0</v>
      </c>
      <c r="N92" s="164">
        <v>0</v>
      </c>
      <c r="O92" s="164">
        <v>0</v>
      </c>
      <c r="P92" s="164">
        <v>0</v>
      </c>
      <c r="Q92" s="164">
        <v>0</v>
      </c>
      <c r="R92" s="164">
        <v>0</v>
      </c>
      <c r="S92" s="252">
        <v>0</v>
      </c>
    </row>
    <row r="93" spans="1:19" s="22" customFormat="1" ht="12" customHeight="1" hidden="1">
      <c r="A93" s="479"/>
      <c r="B93" s="98" t="s">
        <v>278</v>
      </c>
      <c r="C93" s="164">
        <v>0</v>
      </c>
      <c r="D93" s="105">
        <f t="shared" si="12"/>
        <v>0</v>
      </c>
      <c r="E93" s="105">
        <f t="shared" si="13"/>
        <v>0</v>
      </c>
      <c r="F93" s="164">
        <v>0</v>
      </c>
      <c r="G93" s="164">
        <v>0</v>
      </c>
      <c r="H93" s="164">
        <v>0</v>
      </c>
      <c r="I93" s="164">
        <v>0</v>
      </c>
      <c r="J93" s="164">
        <v>0</v>
      </c>
      <c r="K93" s="164">
        <v>0</v>
      </c>
      <c r="L93" s="164">
        <v>0</v>
      </c>
      <c r="M93" s="164">
        <v>0</v>
      </c>
      <c r="N93" s="164">
        <v>0</v>
      </c>
      <c r="O93" s="164">
        <v>0</v>
      </c>
      <c r="P93" s="164">
        <v>0</v>
      </c>
      <c r="Q93" s="164">
        <v>0</v>
      </c>
      <c r="R93" s="164">
        <v>0</v>
      </c>
      <c r="S93" s="252">
        <v>0</v>
      </c>
    </row>
    <row r="94" spans="1:19" s="22" customFormat="1" ht="12" customHeight="1" hidden="1">
      <c r="A94" s="479"/>
      <c r="B94" s="98" t="s">
        <v>303</v>
      </c>
      <c r="C94" s="164">
        <v>0</v>
      </c>
      <c r="D94" s="105">
        <f t="shared" si="12"/>
        <v>0</v>
      </c>
      <c r="E94" s="105">
        <f t="shared" si="13"/>
        <v>0</v>
      </c>
      <c r="F94" s="164">
        <v>0</v>
      </c>
      <c r="G94" s="164">
        <v>0</v>
      </c>
      <c r="H94" s="164">
        <v>0</v>
      </c>
      <c r="I94" s="164">
        <v>0</v>
      </c>
      <c r="J94" s="164">
        <v>0</v>
      </c>
      <c r="K94" s="164">
        <v>0</v>
      </c>
      <c r="L94" s="164">
        <v>0</v>
      </c>
      <c r="M94" s="164">
        <v>0</v>
      </c>
      <c r="N94" s="164">
        <v>0</v>
      </c>
      <c r="O94" s="164">
        <v>0</v>
      </c>
      <c r="P94" s="164">
        <v>0</v>
      </c>
      <c r="Q94" s="164">
        <v>0</v>
      </c>
      <c r="R94" s="164">
        <v>0</v>
      </c>
      <c r="S94" s="252">
        <v>0</v>
      </c>
    </row>
    <row r="95" spans="1:19" s="22" customFormat="1" ht="12" customHeight="1" hidden="1">
      <c r="A95" s="479"/>
      <c r="B95" s="98" t="s">
        <v>314</v>
      </c>
      <c r="C95" s="164">
        <v>0</v>
      </c>
      <c r="D95" s="105">
        <f t="shared" si="12"/>
        <v>0</v>
      </c>
      <c r="E95" s="105">
        <f t="shared" si="13"/>
        <v>0</v>
      </c>
      <c r="F95" s="164">
        <v>0</v>
      </c>
      <c r="G95" s="164">
        <v>0</v>
      </c>
      <c r="H95" s="164">
        <v>0</v>
      </c>
      <c r="I95" s="164">
        <v>0</v>
      </c>
      <c r="J95" s="164">
        <v>0</v>
      </c>
      <c r="K95" s="164">
        <v>0</v>
      </c>
      <c r="L95" s="164">
        <v>0</v>
      </c>
      <c r="M95" s="164">
        <v>0</v>
      </c>
      <c r="N95" s="164">
        <v>0</v>
      </c>
      <c r="O95" s="164">
        <v>0</v>
      </c>
      <c r="P95" s="164">
        <v>0</v>
      </c>
      <c r="Q95" s="164">
        <v>0</v>
      </c>
      <c r="R95" s="164">
        <v>0</v>
      </c>
      <c r="S95" s="252">
        <v>0</v>
      </c>
    </row>
    <row r="96" spans="1:19" s="22" customFormat="1" ht="12" customHeight="1" hidden="1">
      <c r="A96" s="479"/>
      <c r="B96" s="98" t="s">
        <v>321</v>
      </c>
      <c r="C96" s="164">
        <v>0</v>
      </c>
      <c r="D96" s="105">
        <f t="shared" si="12"/>
        <v>0</v>
      </c>
      <c r="E96" s="105">
        <f t="shared" si="13"/>
        <v>0</v>
      </c>
      <c r="F96" s="164">
        <v>0</v>
      </c>
      <c r="G96" s="164">
        <v>0</v>
      </c>
      <c r="H96" s="164">
        <v>0</v>
      </c>
      <c r="I96" s="164">
        <v>0</v>
      </c>
      <c r="J96" s="164">
        <v>0</v>
      </c>
      <c r="K96" s="164">
        <v>0</v>
      </c>
      <c r="L96" s="164">
        <v>0</v>
      </c>
      <c r="M96" s="164">
        <v>0</v>
      </c>
      <c r="N96" s="164">
        <v>0</v>
      </c>
      <c r="O96" s="164">
        <v>0</v>
      </c>
      <c r="P96" s="164">
        <v>0</v>
      </c>
      <c r="Q96" s="164">
        <v>0</v>
      </c>
      <c r="R96" s="164">
        <v>0</v>
      </c>
      <c r="S96" s="252">
        <v>0</v>
      </c>
    </row>
    <row r="97" spans="1:19" s="22" customFormat="1" ht="12" customHeight="1" hidden="1">
      <c r="A97" s="479"/>
      <c r="B97" s="98" t="s">
        <v>332</v>
      </c>
      <c r="C97" s="105">
        <v>0</v>
      </c>
      <c r="D97" s="105">
        <f>+E97+N97+O97+P97+Q97+R97</f>
        <v>0</v>
      </c>
      <c r="E97" s="105">
        <f>SUM(H97:M97)</f>
        <v>0</v>
      </c>
      <c r="F97" s="105"/>
      <c r="G97" s="105"/>
      <c r="H97" s="105"/>
      <c r="I97" s="105"/>
      <c r="J97" s="105"/>
      <c r="K97" s="105"/>
      <c r="L97" s="105"/>
      <c r="M97" s="105"/>
      <c r="N97" s="105"/>
      <c r="O97" s="105"/>
      <c r="P97" s="105"/>
      <c r="Q97" s="105"/>
      <c r="R97" s="105"/>
      <c r="S97" s="252"/>
    </row>
    <row r="98" spans="1:19" s="22" customFormat="1" ht="12" customHeight="1">
      <c r="A98" s="479"/>
      <c r="B98" s="100" t="s">
        <v>73</v>
      </c>
      <c r="C98" s="164"/>
      <c r="D98" s="105"/>
      <c r="E98" s="105"/>
      <c r="F98" s="105"/>
      <c r="G98" s="164"/>
      <c r="H98" s="164"/>
      <c r="I98" s="164"/>
      <c r="J98" s="164"/>
      <c r="K98" s="164"/>
      <c r="L98" s="164"/>
      <c r="M98" s="164"/>
      <c r="N98" s="164"/>
      <c r="O98" s="164"/>
      <c r="P98" s="164"/>
      <c r="Q98" s="164"/>
      <c r="R98" s="164"/>
      <c r="S98" s="252"/>
    </row>
    <row r="99" spans="1:19" s="22" customFormat="1" ht="12" customHeight="1" hidden="1">
      <c r="A99" s="479"/>
      <c r="B99" s="98" t="s">
        <v>168</v>
      </c>
      <c r="C99" s="164">
        <v>0</v>
      </c>
      <c r="D99" s="105">
        <v>0</v>
      </c>
      <c r="E99" s="105">
        <v>0</v>
      </c>
      <c r="F99" s="164">
        <v>0</v>
      </c>
      <c r="G99" s="164">
        <v>0</v>
      </c>
      <c r="H99" s="164">
        <v>0</v>
      </c>
      <c r="I99" s="164">
        <v>0</v>
      </c>
      <c r="J99" s="164">
        <v>0</v>
      </c>
      <c r="K99" s="164">
        <v>0</v>
      </c>
      <c r="L99" s="164">
        <v>0</v>
      </c>
      <c r="M99" s="164">
        <v>0</v>
      </c>
      <c r="N99" s="164">
        <v>0</v>
      </c>
      <c r="O99" s="164">
        <v>0</v>
      </c>
      <c r="P99" s="164">
        <v>0</v>
      </c>
      <c r="Q99" s="164">
        <v>0</v>
      </c>
      <c r="R99" s="164">
        <v>0</v>
      </c>
      <c r="S99" s="252">
        <v>0</v>
      </c>
    </row>
    <row r="100" spans="1:19" s="22" customFormat="1" ht="12" customHeight="1" hidden="1">
      <c r="A100" s="479"/>
      <c r="B100" s="98" t="s">
        <v>166</v>
      </c>
      <c r="C100" s="164">
        <v>0</v>
      </c>
      <c r="D100" s="105">
        <v>0</v>
      </c>
      <c r="E100" s="105">
        <v>0</v>
      </c>
      <c r="F100" s="164">
        <v>0</v>
      </c>
      <c r="G100" s="164">
        <v>0</v>
      </c>
      <c r="H100" s="164">
        <v>0</v>
      </c>
      <c r="I100" s="164">
        <v>0</v>
      </c>
      <c r="J100" s="164">
        <v>0</v>
      </c>
      <c r="K100" s="164">
        <v>0</v>
      </c>
      <c r="L100" s="164">
        <v>0</v>
      </c>
      <c r="M100" s="164">
        <v>0</v>
      </c>
      <c r="N100" s="164">
        <v>0</v>
      </c>
      <c r="O100" s="164">
        <v>0</v>
      </c>
      <c r="P100" s="164">
        <v>0</v>
      </c>
      <c r="Q100" s="164">
        <v>0</v>
      </c>
      <c r="R100" s="164">
        <v>0</v>
      </c>
      <c r="S100" s="252">
        <v>0</v>
      </c>
    </row>
    <row r="101" spans="1:19" s="22" customFormat="1" ht="12" customHeight="1" hidden="1">
      <c r="A101" s="479"/>
      <c r="B101" s="98" t="s">
        <v>167</v>
      </c>
      <c r="C101" s="164">
        <v>0</v>
      </c>
      <c r="D101" s="105">
        <v>0</v>
      </c>
      <c r="E101" s="105">
        <v>0</v>
      </c>
      <c r="F101" s="164">
        <v>0</v>
      </c>
      <c r="G101" s="164">
        <v>0</v>
      </c>
      <c r="H101" s="164">
        <v>0</v>
      </c>
      <c r="I101" s="164">
        <v>0</v>
      </c>
      <c r="J101" s="164">
        <v>0</v>
      </c>
      <c r="K101" s="164">
        <v>0</v>
      </c>
      <c r="L101" s="164">
        <v>0</v>
      </c>
      <c r="M101" s="164">
        <v>0</v>
      </c>
      <c r="N101" s="164">
        <v>0</v>
      </c>
      <c r="O101" s="164">
        <v>0</v>
      </c>
      <c r="P101" s="164">
        <v>0</v>
      </c>
      <c r="Q101" s="164">
        <v>0</v>
      </c>
      <c r="R101" s="164">
        <v>0</v>
      </c>
      <c r="S101" s="252">
        <v>0</v>
      </c>
    </row>
    <row r="102" spans="1:19" s="22" customFormat="1" ht="12" customHeight="1" hidden="1">
      <c r="A102" s="479"/>
      <c r="B102" s="98" t="s">
        <v>169</v>
      </c>
      <c r="C102" s="164">
        <v>0</v>
      </c>
      <c r="D102" s="105">
        <v>0</v>
      </c>
      <c r="E102" s="105">
        <v>0</v>
      </c>
      <c r="F102" s="164">
        <v>0</v>
      </c>
      <c r="G102" s="164">
        <v>0</v>
      </c>
      <c r="H102" s="164">
        <v>0</v>
      </c>
      <c r="I102" s="164">
        <v>0</v>
      </c>
      <c r="J102" s="164">
        <v>0</v>
      </c>
      <c r="K102" s="164">
        <v>0</v>
      </c>
      <c r="L102" s="164">
        <v>0</v>
      </c>
      <c r="M102" s="164">
        <v>0</v>
      </c>
      <c r="N102" s="164">
        <v>0</v>
      </c>
      <c r="O102" s="164">
        <v>0</v>
      </c>
      <c r="P102" s="164">
        <v>0</v>
      </c>
      <c r="Q102" s="164">
        <v>0</v>
      </c>
      <c r="R102" s="164">
        <v>0</v>
      </c>
      <c r="S102" s="252">
        <v>0</v>
      </c>
    </row>
    <row r="103" spans="1:19" s="22" customFormat="1" ht="0.75" customHeight="1">
      <c r="A103" s="479"/>
      <c r="B103" s="98" t="s">
        <v>193</v>
      </c>
      <c r="C103" s="164">
        <v>0</v>
      </c>
      <c r="D103" s="105">
        <v>0</v>
      </c>
      <c r="E103" s="105">
        <v>0</v>
      </c>
      <c r="F103" s="164">
        <v>0</v>
      </c>
      <c r="G103" s="164">
        <v>0</v>
      </c>
      <c r="H103" s="164">
        <v>0</v>
      </c>
      <c r="I103" s="164">
        <v>0</v>
      </c>
      <c r="J103" s="164">
        <v>0</v>
      </c>
      <c r="K103" s="164">
        <v>0</v>
      </c>
      <c r="L103" s="164">
        <v>0</v>
      </c>
      <c r="M103" s="164">
        <v>0</v>
      </c>
      <c r="N103" s="164">
        <v>0</v>
      </c>
      <c r="O103" s="164">
        <v>0</v>
      </c>
      <c r="P103" s="164">
        <v>0</v>
      </c>
      <c r="Q103" s="164">
        <v>0</v>
      </c>
      <c r="R103" s="164">
        <v>0</v>
      </c>
      <c r="S103" s="253">
        <v>0</v>
      </c>
    </row>
    <row r="104" spans="1:19" s="22" customFormat="1" ht="12" customHeight="1" hidden="1">
      <c r="A104" s="479"/>
      <c r="B104" s="98" t="s">
        <v>209</v>
      </c>
      <c r="C104" s="164">
        <v>0</v>
      </c>
      <c r="D104" s="105">
        <v>0</v>
      </c>
      <c r="E104" s="105">
        <v>0</v>
      </c>
      <c r="F104" s="164">
        <v>0</v>
      </c>
      <c r="G104" s="164">
        <v>0</v>
      </c>
      <c r="H104" s="164">
        <v>0</v>
      </c>
      <c r="I104" s="164">
        <v>0</v>
      </c>
      <c r="J104" s="164">
        <v>0</v>
      </c>
      <c r="K104" s="164">
        <v>0</v>
      </c>
      <c r="L104" s="164">
        <v>0</v>
      </c>
      <c r="M104" s="164">
        <v>0</v>
      </c>
      <c r="N104" s="164">
        <v>0</v>
      </c>
      <c r="O104" s="164">
        <v>0</v>
      </c>
      <c r="P104" s="164">
        <v>0</v>
      </c>
      <c r="Q104" s="164">
        <v>0</v>
      </c>
      <c r="R104" s="164">
        <v>0</v>
      </c>
      <c r="S104" s="253">
        <v>0</v>
      </c>
    </row>
    <row r="105" spans="1:19" s="22" customFormat="1" ht="12" customHeight="1" hidden="1">
      <c r="A105" s="479"/>
      <c r="B105" s="98" t="s">
        <v>210</v>
      </c>
      <c r="C105" s="164">
        <v>0</v>
      </c>
      <c r="D105" s="105">
        <v>0</v>
      </c>
      <c r="E105" s="105">
        <v>0</v>
      </c>
      <c r="F105" s="164">
        <v>0</v>
      </c>
      <c r="G105" s="164">
        <v>0</v>
      </c>
      <c r="H105" s="164">
        <v>0</v>
      </c>
      <c r="I105" s="164">
        <v>0</v>
      </c>
      <c r="J105" s="164">
        <v>0</v>
      </c>
      <c r="K105" s="164">
        <v>0</v>
      </c>
      <c r="L105" s="164">
        <v>0</v>
      </c>
      <c r="M105" s="164">
        <v>0</v>
      </c>
      <c r="N105" s="164">
        <v>0</v>
      </c>
      <c r="O105" s="164">
        <v>0</v>
      </c>
      <c r="P105" s="164">
        <v>0</v>
      </c>
      <c r="Q105" s="164">
        <v>0</v>
      </c>
      <c r="R105" s="164">
        <v>0</v>
      </c>
      <c r="S105" s="253">
        <v>0</v>
      </c>
    </row>
    <row r="106" spans="1:19" s="22" customFormat="1" ht="12" customHeight="1" hidden="1">
      <c r="A106" s="479"/>
      <c r="B106" s="98" t="s">
        <v>236</v>
      </c>
      <c r="C106" s="164">
        <v>0</v>
      </c>
      <c r="D106" s="105">
        <v>0</v>
      </c>
      <c r="E106" s="105">
        <v>0</v>
      </c>
      <c r="F106" s="164">
        <v>0</v>
      </c>
      <c r="G106" s="164">
        <v>0</v>
      </c>
      <c r="H106" s="164">
        <v>0</v>
      </c>
      <c r="I106" s="164">
        <v>0</v>
      </c>
      <c r="J106" s="164">
        <v>0</v>
      </c>
      <c r="K106" s="164">
        <v>0</v>
      </c>
      <c r="L106" s="164">
        <v>0</v>
      </c>
      <c r="M106" s="164">
        <v>0</v>
      </c>
      <c r="N106" s="164">
        <v>0</v>
      </c>
      <c r="O106" s="164">
        <v>0</v>
      </c>
      <c r="P106" s="164">
        <v>0</v>
      </c>
      <c r="Q106" s="164">
        <v>0</v>
      </c>
      <c r="R106" s="164">
        <v>0</v>
      </c>
      <c r="S106" s="253">
        <v>0</v>
      </c>
    </row>
    <row r="107" spans="1:19" s="22" customFormat="1" ht="12" customHeight="1" hidden="1">
      <c r="A107" s="479"/>
      <c r="B107" s="98" t="s">
        <v>359</v>
      </c>
      <c r="C107" s="164">
        <v>0</v>
      </c>
      <c r="D107" s="105">
        <v>0</v>
      </c>
      <c r="E107" s="105">
        <v>0</v>
      </c>
      <c r="F107" s="164">
        <v>0</v>
      </c>
      <c r="G107" s="164">
        <v>0</v>
      </c>
      <c r="H107" s="164">
        <v>0</v>
      </c>
      <c r="I107" s="164">
        <v>0</v>
      </c>
      <c r="J107" s="164">
        <v>0</v>
      </c>
      <c r="K107" s="164">
        <v>0</v>
      </c>
      <c r="L107" s="164">
        <v>0</v>
      </c>
      <c r="M107" s="164">
        <v>0</v>
      </c>
      <c r="N107" s="164">
        <v>0</v>
      </c>
      <c r="O107" s="164">
        <v>0</v>
      </c>
      <c r="P107" s="164">
        <v>0</v>
      </c>
      <c r="Q107" s="164">
        <v>0</v>
      </c>
      <c r="R107" s="164">
        <v>0</v>
      </c>
      <c r="S107" s="253">
        <v>0</v>
      </c>
    </row>
    <row r="108" spans="1:19" s="22" customFormat="1" ht="12" customHeight="1" hidden="1">
      <c r="A108" s="479"/>
      <c r="B108" s="98" t="s">
        <v>248</v>
      </c>
      <c r="C108" s="164">
        <v>0</v>
      </c>
      <c r="D108" s="105">
        <f>+E108+N108+O108+P108+Q108+R108</f>
        <v>0</v>
      </c>
      <c r="E108" s="105">
        <f>SUM(H108:M108)</f>
        <v>0</v>
      </c>
      <c r="F108" s="164">
        <v>0</v>
      </c>
      <c r="G108" s="164">
        <v>0</v>
      </c>
      <c r="H108" s="164">
        <v>0</v>
      </c>
      <c r="I108" s="164">
        <v>0</v>
      </c>
      <c r="J108" s="164">
        <v>0</v>
      </c>
      <c r="K108" s="164">
        <v>0</v>
      </c>
      <c r="L108" s="164">
        <v>0</v>
      </c>
      <c r="M108" s="164">
        <v>0</v>
      </c>
      <c r="N108" s="164">
        <v>0</v>
      </c>
      <c r="O108" s="164">
        <v>0</v>
      </c>
      <c r="P108" s="164">
        <v>0</v>
      </c>
      <c r="Q108" s="164">
        <v>0</v>
      </c>
      <c r="R108" s="164">
        <v>0</v>
      </c>
      <c r="S108" s="253">
        <v>0</v>
      </c>
    </row>
    <row r="109" spans="1:19" s="22" customFormat="1" ht="12" customHeight="1" hidden="1">
      <c r="A109" s="479"/>
      <c r="B109" s="98" t="s">
        <v>259</v>
      </c>
      <c r="C109" s="164">
        <v>0</v>
      </c>
      <c r="D109" s="105">
        <f>+E109+N109+O109+P109+Q109+R109</f>
        <v>0</v>
      </c>
      <c r="E109" s="105">
        <f>SUM(H109:M109)</f>
        <v>0</v>
      </c>
      <c r="F109" s="164">
        <v>0</v>
      </c>
      <c r="G109" s="164">
        <v>0</v>
      </c>
      <c r="H109" s="164">
        <v>0</v>
      </c>
      <c r="I109" s="164">
        <v>0</v>
      </c>
      <c r="J109" s="164">
        <v>0</v>
      </c>
      <c r="K109" s="164">
        <v>0</v>
      </c>
      <c r="L109" s="164">
        <v>0</v>
      </c>
      <c r="M109" s="164">
        <v>0</v>
      </c>
      <c r="N109" s="164">
        <v>0</v>
      </c>
      <c r="O109" s="164">
        <v>0</v>
      </c>
      <c r="P109" s="164">
        <v>0</v>
      </c>
      <c r="Q109" s="164">
        <v>0</v>
      </c>
      <c r="R109" s="164">
        <v>0</v>
      </c>
      <c r="S109" s="253">
        <v>0</v>
      </c>
    </row>
    <row r="110" spans="1:19" s="22" customFormat="1" ht="12" customHeight="1" hidden="1">
      <c r="A110" s="479"/>
      <c r="B110" s="98" t="s">
        <v>265</v>
      </c>
      <c r="C110" s="164">
        <v>0</v>
      </c>
      <c r="D110" s="105">
        <v>0</v>
      </c>
      <c r="E110" s="105">
        <v>0</v>
      </c>
      <c r="F110" s="164">
        <v>0</v>
      </c>
      <c r="G110" s="164">
        <v>0</v>
      </c>
      <c r="H110" s="164">
        <v>0</v>
      </c>
      <c r="I110" s="164">
        <v>0</v>
      </c>
      <c r="J110" s="164">
        <v>0</v>
      </c>
      <c r="K110" s="164">
        <v>0</v>
      </c>
      <c r="L110" s="164">
        <v>0</v>
      </c>
      <c r="M110" s="164">
        <v>0</v>
      </c>
      <c r="N110" s="164">
        <v>0</v>
      </c>
      <c r="O110" s="164">
        <v>0</v>
      </c>
      <c r="P110" s="164">
        <v>0</v>
      </c>
      <c r="Q110" s="164">
        <v>0</v>
      </c>
      <c r="R110" s="164">
        <v>0</v>
      </c>
      <c r="S110" s="253">
        <v>0</v>
      </c>
    </row>
    <row r="111" spans="1:19" s="22" customFormat="1" ht="12" customHeight="1" hidden="1">
      <c r="A111" s="479"/>
      <c r="B111" s="98" t="s">
        <v>275</v>
      </c>
      <c r="C111" s="164">
        <v>0</v>
      </c>
      <c r="D111" s="105">
        <v>0</v>
      </c>
      <c r="E111" s="105">
        <v>0</v>
      </c>
      <c r="F111" s="164">
        <v>0</v>
      </c>
      <c r="G111" s="164">
        <v>0</v>
      </c>
      <c r="H111" s="164">
        <v>0</v>
      </c>
      <c r="I111" s="164">
        <v>0</v>
      </c>
      <c r="J111" s="164">
        <v>0</v>
      </c>
      <c r="K111" s="164">
        <v>0</v>
      </c>
      <c r="L111" s="164">
        <v>0</v>
      </c>
      <c r="M111" s="164">
        <v>0</v>
      </c>
      <c r="N111" s="164">
        <v>0</v>
      </c>
      <c r="O111" s="164">
        <v>0</v>
      </c>
      <c r="P111" s="164">
        <v>0</v>
      </c>
      <c r="Q111" s="164">
        <v>0</v>
      </c>
      <c r="R111" s="164">
        <v>0</v>
      </c>
      <c r="S111" s="253">
        <v>0</v>
      </c>
    </row>
    <row r="112" spans="1:19" s="22" customFormat="1" ht="12" customHeight="1">
      <c r="A112" s="479"/>
      <c r="B112" s="98" t="s">
        <v>303</v>
      </c>
      <c r="C112" s="164">
        <v>0</v>
      </c>
      <c r="D112" s="105">
        <f>+E112+N112+O112+P112+Q112+R112</f>
        <v>0</v>
      </c>
      <c r="E112" s="105">
        <f>SUM(H112:M112)</f>
        <v>0</v>
      </c>
      <c r="F112" s="164">
        <v>0</v>
      </c>
      <c r="G112" s="164">
        <v>0</v>
      </c>
      <c r="H112" s="164">
        <v>0</v>
      </c>
      <c r="I112" s="164">
        <v>0</v>
      </c>
      <c r="J112" s="164">
        <v>0</v>
      </c>
      <c r="K112" s="164">
        <v>0</v>
      </c>
      <c r="L112" s="164">
        <v>0</v>
      </c>
      <c r="M112" s="164">
        <v>0</v>
      </c>
      <c r="N112" s="164">
        <v>0</v>
      </c>
      <c r="O112" s="164">
        <v>0</v>
      </c>
      <c r="P112" s="164">
        <v>0</v>
      </c>
      <c r="Q112" s="164">
        <v>0</v>
      </c>
      <c r="R112" s="164">
        <v>0</v>
      </c>
      <c r="S112" s="252">
        <v>0</v>
      </c>
    </row>
    <row r="113" spans="1:19" s="22" customFormat="1" ht="12" customHeight="1">
      <c r="A113" s="479"/>
      <c r="B113" s="293" t="s">
        <v>315</v>
      </c>
      <c r="C113" s="164">
        <v>0</v>
      </c>
      <c r="D113" s="105">
        <f>+E113+N113+O113+P113+Q113+R113</f>
        <v>0</v>
      </c>
      <c r="E113" s="105">
        <f>SUM(H113:M113)</f>
        <v>0</v>
      </c>
      <c r="F113" s="164">
        <v>0</v>
      </c>
      <c r="G113" s="164">
        <v>0</v>
      </c>
      <c r="H113" s="164">
        <v>0</v>
      </c>
      <c r="I113" s="164">
        <v>0</v>
      </c>
      <c r="J113" s="164">
        <v>0</v>
      </c>
      <c r="K113" s="164">
        <v>0</v>
      </c>
      <c r="L113" s="164">
        <v>0</v>
      </c>
      <c r="M113" s="164">
        <v>0</v>
      </c>
      <c r="N113" s="164">
        <v>0</v>
      </c>
      <c r="O113" s="164">
        <v>0</v>
      </c>
      <c r="P113" s="164">
        <v>0</v>
      </c>
      <c r="Q113" s="164">
        <v>0</v>
      </c>
      <c r="R113" s="164">
        <v>0</v>
      </c>
      <c r="S113" s="253">
        <v>0</v>
      </c>
    </row>
    <row r="114" spans="1:19" s="22" customFormat="1" ht="12" customHeight="1">
      <c r="A114" s="479"/>
      <c r="B114" s="293" t="s">
        <v>321</v>
      </c>
      <c r="C114" s="164">
        <v>0</v>
      </c>
      <c r="D114" s="91">
        <f>+E114+N114+O114+P114+Q114+R114</f>
        <v>0</v>
      </c>
      <c r="E114" s="91">
        <f>SUM(H114:M114)</f>
        <v>0</v>
      </c>
      <c r="F114" s="97">
        <v>0</v>
      </c>
      <c r="G114" s="97">
        <v>0</v>
      </c>
      <c r="H114" s="97">
        <v>0</v>
      </c>
      <c r="I114" s="97">
        <v>0</v>
      </c>
      <c r="J114" s="97">
        <v>0</v>
      </c>
      <c r="K114" s="97">
        <v>0</v>
      </c>
      <c r="L114" s="97">
        <v>0</v>
      </c>
      <c r="M114" s="97">
        <v>0</v>
      </c>
      <c r="N114" s="97">
        <v>0</v>
      </c>
      <c r="O114" s="97">
        <v>0</v>
      </c>
      <c r="P114" s="97">
        <v>0</v>
      </c>
      <c r="Q114" s="97">
        <v>0</v>
      </c>
      <c r="R114" s="97">
        <v>0</v>
      </c>
      <c r="S114" s="252">
        <v>0</v>
      </c>
    </row>
    <row r="115" spans="1:19" s="22" customFormat="1" ht="12" customHeight="1">
      <c r="A115" s="479"/>
      <c r="B115" s="293" t="s">
        <v>332</v>
      </c>
      <c r="C115" s="164">
        <v>0</v>
      </c>
      <c r="D115" s="91">
        <f>+E115+N115+O115+P115+Q115+R115</f>
        <v>0</v>
      </c>
      <c r="E115" s="91">
        <f>SUM(H115:M115)</f>
        <v>0</v>
      </c>
      <c r="F115" s="97">
        <v>0</v>
      </c>
      <c r="G115" s="97">
        <v>0</v>
      </c>
      <c r="H115" s="97">
        <v>0</v>
      </c>
      <c r="I115" s="97">
        <v>0</v>
      </c>
      <c r="J115" s="97">
        <v>0</v>
      </c>
      <c r="K115" s="97">
        <v>0</v>
      </c>
      <c r="L115" s="97">
        <v>0</v>
      </c>
      <c r="M115" s="97">
        <v>0</v>
      </c>
      <c r="N115" s="97">
        <v>0</v>
      </c>
      <c r="O115" s="97">
        <v>0</v>
      </c>
      <c r="P115" s="97">
        <v>0</v>
      </c>
      <c r="Q115" s="97">
        <v>0</v>
      </c>
      <c r="R115" s="97">
        <v>0</v>
      </c>
      <c r="S115" s="252">
        <v>0</v>
      </c>
    </row>
    <row r="116" spans="1:19" s="22" customFormat="1" ht="12" customHeight="1" thickBot="1">
      <c r="A116" s="482"/>
      <c r="B116" s="293" t="s">
        <v>362</v>
      </c>
      <c r="C116" s="317">
        <v>0</v>
      </c>
      <c r="D116" s="304">
        <f>+E116+N116+O116+P116+Q116+R116</f>
        <v>0</v>
      </c>
      <c r="E116" s="304">
        <f>SUM(H116:M116)</f>
        <v>0</v>
      </c>
      <c r="F116" s="304">
        <v>0</v>
      </c>
      <c r="G116" s="304">
        <v>0</v>
      </c>
      <c r="H116" s="304">
        <v>0</v>
      </c>
      <c r="I116" s="304">
        <v>0</v>
      </c>
      <c r="J116" s="304">
        <v>0</v>
      </c>
      <c r="K116" s="304">
        <v>0</v>
      </c>
      <c r="L116" s="304">
        <v>0</v>
      </c>
      <c r="M116" s="304">
        <v>0</v>
      </c>
      <c r="N116" s="304">
        <v>0</v>
      </c>
      <c r="O116" s="304">
        <v>0</v>
      </c>
      <c r="P116" s="304">
        <v>0</v>
      </c>
      <c r="Q116" s="304">
        <v>0</v>
      </c>
      <c r="R116" s="304">
        <v>0</v>
      </c>
      <c r="S116" s="312">
        <v>0</v>
      </c>
    </row>
    <row r="117" spans="1:19" s="22" customFormat="1" ht="12" customHeight="1">
      <c r="A117" s="165" t="s">
        <v>462</v>
      </c>
      <c r="B117" s="166"/>
      <c r="C117" s="93"/>
      <c r="D117" s="91"/>
      <c r="E117" s="93"/>
      <c r="F117" s="93"/>
      <c r="G117" s="93"/>
      <c r="H117" s="93"/>
      <c r="I117" s="93"/>
      <c r="J117" s="93"/>
      <c r="K117" s="93"/>
      <c r="L117" s="93"/>
      <c r="M117" s="93"/>
      <c r="N117" s="93"/>
      <c r="O117" s="93"/>
      <c r="P117" s="93"/>
      <c r="Q117" s="93"/>
      <c r="R117" s="93"/>
      <c r="S117" s="252"/>
    </row>
    <row r="118" spans="1:19" s="22" customFormat="1" ht="9.75" customHeight="1" hidden="1">
      <c r="A118" s="167"/>
      <c r="B118" s="25" t="s">
        <v>65</v>
      </c>
      <c r="C118" s="93">
        <v>124258</v>
      </c>
      <c r="D118" s="93">
        <f>SUM(E118,N118:R118)</f>
        <v>153903</v>
      </c>
      <c r="E118" s="93">
        <f>SUM(H118:M118)</f>
        <v>119741</v>
      </c>
      <c r="F118" s="93">
        <v>18</v>
      </c>
      <c r="G118" s="93">
        <v>127</v>
      </c>
      <c r="H118" s="93">
        <f>38059+1251</f>
        <v>39310</v>
      </c>
      <c r="I118" s="93">
        <f>13652+8092</f>
        <v>21744</v>
      </c>
      <c r="J118" s="93">
        <v>1617</v>
      </c>
      <c r="K118" s="93">
        <f>354+1254+1019+1072+521+16</f>
        <v>4236</v>
      </c>
      <c r="L118" s="93">
        <v>21139</v>
      </c>
      <c r="M118" s="93">
        <v>31695</v>
      </c>
      <c r="N118" s="93">
        <v>2190</v>
      </c>
      <c r="O118" s="93">
        <v>16920</v>
      </c>
      <c r="P118" s="93">
        <v>1550</v>
      </c>
      <c r="Q118" s="93">
        <v>12154</v>
      </c>
      <c r="R118" s="93">
        <f>1005+343</f>
        <v>1348</v>
      </c>
      <c r="S118" s="252">
        <f>(E118+N118)/D118*100</f>
        <v>79.22587603880366</v>
      </c>
    </row>
    <row r="119" spans="1:19" s="22" customFormat="1" ht="9.75" customHeight="1" hidden="1">
      <c r="A119" s="167"/>
      <c r="B119" s="25" t="s">
        <v>170</v>
      </c>
      <c r="C119" s="168">
        <v>130008</v>
      </c>
      <c r="D119" s="93">
        <f>SUM(E119,N119:R119)</f>
        <v>157516</v>
      </c>
      <c r="E119" s="93">
        <f>SUM(H119:M119)</f>
        <v>127569</v>
      </c>
      <c r="F119" s="93">
        <v>10</v>
      </c>
      <c r="G119" s="93">
        <v>151</v>
      </c>
      <c r="H119" s="93">
        <f>42169+20</f>
        <v>42189</v>
      </c>
      <c r="I119" s="93">
        <v>23687</v>
      </c>
      <c r="J119" s="93">
        <v>1636</v>
      </c>
      <c r="K119" s="93">
        <v>4265</v>
      </c>
      <c r="L119" s="93">
        <v>26158</v>
      </c>
      <c r="M119" s="93">
        <v>29634</v>
      </c>
      <c r="N119" s="93">
        <v>723</v>
      </c>
      <c r="O119" s="93">
        <v>15402</v>
      </c>
      <c r="P119" s="93">
        <v>1245</v>
      </c>
      <c r="Q119" s="93">
        <v>11517</v>
      </c>
      <c r="R119" s="93">
        <v>1060</v>
      </c>
      <c r="S119" s="252">
        <f>(E119+N119)/D119*100</f>
        <v>81.44696411793088</v>
      </c>
    </row>
    <row r="120" spans="1:19" s="22" customFormat="1" ht="9.75" customHeight="1" hidden="1">
      <c r="A120" s="167"/>
      <c r="B120" s="98" t="s">
        <v>192</v>
      </c>
      <c r="C120" s="169">
        <v>130293</v>
      </c>
      <c r="D120" s="91">
        <v>154320</v>
      </c>
      <c r="E120" s="91">
        <v>126819</v>
      </c>
      <c r="F120" s="97">
        <v>9</v>
      </c>
      <c r="G120" s="97">
        <v>110</v>
      </c>
      <c r="H120" s="97">
        <f>20+20</f>
        <v>40</v>
      </c>
      <c r="I120" s="97">
        <v>22529</v>
      </c>
      <c r="J120" s="97">
        <v>1546</v>
      </c>
      <c r="K120" s="97">
        <v>4227</v>
      </c>
      <c r="L120" s="97">
        <v>31105</v>
      </c>
      <c r="M120" s="97">
        <v>25939</v>
      </c>
      <c r="N120" s="97">
        <v>308</v>
      </c>
      <c r="O120" s="97">
        <v>13470</v>
      </c>
      <c r="P120" s="97">
        <v>2077</v>
      </c>
      <c r="Q120" s="97">
        <v>10474</v>
      </c>
      <c r="R120" s="97">
        <v>1172</v>
      </c>
      <c r="S120" s="252">
        <f>(E120+N120)/D120*100</f>
        <v>82.37882322446863</v>
      </c>
    </row>
    <row r="121" spans="1:19" s="22" customFormat="1" ht="9.75" customHeight="1" hidden="1">
      <c r="A121" s="167"/>
      <c r="B121" s="98" t="s">
        <v>166</v>
      </c>
      <c r="C121" s="169">
        <v>131643</v>
      </c>
      <c r="D121" s="91">
        <f>SUM(E121,N121:R121)</f>
        <v>159739</v>
      </c>
      <c r="E121" s="91">
        <f aca="true" t="shared" si="14" ref="E121:E128">SUM(F121:M121)</f>
        <v>131464</v>
      </c>
      <c r="F121" s="97">
        <v>7</v>
      </c>
      <c r="G121" s="97">
        <v>129</v>
      </c>
      <c r="H121" s="97">
        <f>46463+43</f>
        <v>46506</v>
      </c>
      <c r="I121" s="97">
        <v>24342</v>
      </c>
      <c r="J121" s="97">
        <v>1769</v>
      </c>
      <c r="K121" s="97">
        <v>4736</v>
      </c>
      <c r="L121" s="97">
        <v>32294</v>
      </c>
      <c r="M121" s="97">
        <v>21681</v>
      </c>
      <c r="N121" s="97">
        <v>216</v>
      </c>
      <c r="O121" s="97">
        <v>14334</v>
      </c>
      <c r="P121" s="97">
        <v>1682</v>
      </c>
      <c r="Q121" s="97">
        <v>10825</v>
      </c>
      <c r="R121" s="97">
        <v>1218</v>
      </c>
      <c r="S121" s="252">
        <f>(E121+N121)/D121*100</f>
        <v>82.4344712311959</v>
      </c>
    </row>
    <row r="122" spans="1:19" s="22" customFormat="1" ht="9.75" customHeight="1" hidden="1">
      <c r="A122" s="167"/>
      <c r="B122" s="98" t="s">
        <v>167</v>
      </c>
      <c r="C122" s="169">
        <v>114959</v>
      </c>
      <c r="D122" s="91">
        <v>135785</v>
      </c>
      <c r="E122" s="91">
        <f t="shared" si="14"/>
        <v>115071</v>
      </c>
      <c r="F122" s="97">
        <v>4</v>
      </c>
      <c r="G122" s="97">
        <v>98</v>
      </c>
      <c r="H122" s="97">
        <f>43374+11</f>
        <v>43385</v>
      </c>
      <c r="I122" s="97">
        <v>22971</v>
      </c>
      <c r="J122" s="97">
        <v>1793</v>
      </c>
      <c r="K122" s="97">
        <v>4603</v>
      </c>
      <c r="L122" s="97">
        <v>27349</v>
      </c>
      <c r="M122" s="97">
        <v>14868</v>
      </c>
      <c r="N122" s="97">
        <v>110</v>
      </c>
      <c r="O122" s="97">
        <v>9702</v>
      </c>
      <c r="P122" s="97">
        <v>1278</v>
      </c>
      <c r="Q122" s="97">
        <v>9086</v>
      </c>
      <c r="R122" s="97">
        <v>538</v>
      </c>
      <c r="S122" s="252">
        <v>84.8260117096881</v>
      </c>
    </row>
    <row r="123" spans="1:20" s="22" customFormat="1" ht="10.5" customHeight="1" hidden="1">
      <c r="A123" s="167"/>
      <c r="B123" s="98" t="s">
        <v>172</v>
      </c>
      <c r="C123" s="169">
        <v>125539</v>
      </c>
      <c r="D123" s="91">
        <v>143417</v>
      </c>
      <c r="E123" s="91">
        <f t="shared" si="14"/>
        <v>126884</v>
      </c>
      <c r="F123" s="97">
        <v>1</v>
      </c>
      <c r="G123" s="97">
        <v>90</v>
      </c>
      <c r="H123" s="97">
        <v>47989</v>
      </c>
      <c r="I123" s="97">
        <f>17777+10974</f>
        <v>28751</v>
      </c>
      <c r="J123" s="97">
        <v>1865</v>
      </c>
      <c r="K123" s="97">
        <f>1795+958+1381+517+124</f>
        <v>4775</v>
      </c>
      <c r="L123" s="97">
        <v>28445</v>
      </c>
      <c r="M123" s="97">
        <v>14968</v>
      </c>
      <c r="N123" s="97">
        <v>94</v>
      </c>
      <c r="O123" s="97">
        <v>6378</v>
      </c>
      <c r="P123" s="97">
        <v>1171</v>
      </c>
      <c r="Q123" s="97">
        <v>8542</v>
      </c>
      <c r="R123" s="97">
        <v>348</v>
      </c>
      <c r="S123" s="252">
        <f aca="true" t="shared" si="15" ref="S123:S129">+ROUND((E123+N123)/D123*100,2)</f>
        <v>88.54</v>
      </c>
      <c r="T123" s="170"/>
    </row>
    <row r="124" spans="1:20" s="22" customFormat="1" ht="10.5" customHeight="1" hidden="1">
      <c r="A124" s="167"/>
      <c r="B124" s="98" t="s">
        <v>193</v>
      </c>
      <c r="C124" s="97">
        <v>143622</v>
      </c>
      <c r="D124" s="91">
        <f aca="true" t="shared" si="16" ref="D124:D129">+E124+N124+O124+P124+Q124+R124</f>
        <v>164339</v>
      </c>
      <c r="E124" s="91">
        <f t="shared" si="14"/>
        <v>145671</v>
      </c>
      <c r="F124" s="97">
        <v>3</v>
      </c>
      <c r="G124" s="97">
        <v>131</v>
      </c>
      <c r="H124" s="97">
        <v>56639</v>
      </c>
      <c r="I124" s="97">
        <v>31691</v>
      </c>
      <c r="J124" s="97">
        <v>1920</v>
      </c>
      <c r="K124" s="97">
        <v>6184</v>
      </c>
      <c r="L124" s="97">
        <v>32266</v>
      </c>
      <c r="M124" s="97">
        <v>16837</v>
      </c>
      <c r="N124" s="97">
        <v>70</v>
      </c>
      <c r="O124" s="97">
        <v>6606</v>
      </c>
      <c r="P124" s="97">
        <v>1483</v>
      </c>
      <c r="Q124" s="97">
        <v>10264</v>
      </c>
      <c r="R124" s="97">
        <v>245</v>
      </c>
      <c r="S124" s="252">
        <f t="shared" si="15"/>
        <v>88.68</v>
      </c>
      <c r="T124" s="170"/>
    </row>
    <row r="125" spans="1:20" s="22" customFormat="1" ht="10.5" customHeight="1" hidden="1">
      <c r="A125" s="167"/>
      <c r="B125" s="98" t="s">
        <v>209</v>
      </c>
      <c r="C125" s="97">
        <v>171538</v>
      </c>
      <c r="D125" s="91">
        <f t="shared" si="16"/>
        <v>196103</v>
      </c>
      <c r="E125" s="91">
        <f t="shared" si="14"/>
        <v>173639</v>
      </c>
      <c r="F125" s="97">
        <v>0</v>
      </c>
      <c r="G125" s="97">
        <v>89</v>
      </c>
      <c r="H125" s="97">
        <v>74052</v>
      </c>
      <c r="I125" s="97">
        <f>21584+9651</f>
        <v>31235</v>
      </c>
      <c r="J125" s="97">
        <v>1679</v>
      </c>
      <c r="K125" s="97">
        <f>2546+1018+1686+840+108</f>
        <v>6198</v>
      </c>
      <c r="L125" s="97">
        <v>41287</v>
      </c>
      <c r="M125" s="97">
        <v>19099</v>
      </c>
      <c r="N125" s="97">
        <v>72</v>
      </c>
      <c r="O125" s="97">
        <v>7300</v>
      </c>
      <c r="P125" s="97">
        <v>2364</v>
      </c>
      <c r="Q125" s="97">
        <v>12352</v>
      </c>
      <c r="R125" s="97">
        <v>376</v>
      </c>
      <c r="S125" s="252">
        <f t="shared" si="15"/>
        <v>88.58</v>
      </c>
      <c r="T125" s="170"/>
    </row>
    <row r="126" spans="1:20" s="22" customFormat="1" ht="10.5" customHeight="1" hidden="1">
      <c r="A126" s="167"/>
      <c r="B126" s="98" t="s">
        <v>210</v>
      </c>
      <c r="C126" s="97">
        <v>194208</v>
      </c>
      <c r="D126" s="91">
        <f t="shared" si="16"/>
        <v>221345</v>
      </c>
      <c r="E126" s="91">
        <f>SUM(F126:M126)</f>
        <v>198621</v>
      </c>
      <c r="F126" s="97">
        <v>0</v>
      </c>
      <c r="G126" s="97">
        <v>111</v>
      </c>
      <c r="H126" s="97">
        <v>86588</v>
      </c>
      <c r="I126" s="97">
        <v>40097</v>
      </c>
      <c r="J126" s="97">
        <v>1481</v>
      </c>
      <c r="K126" s="97">
        <v>6390</v>
      </c>
      <c r="L126" s="97">
        <v>42133</v>
      </c>
      <c r="M126" s="97">
        <v>21821</v>
      </c>
      <c r="N126" s="97">
        <v>64</v>
      </c>
      <c r="O126" s="97">
        <v>8583</v>
      </c>
      <c r="P126" s="97">
        <v>1489</v>
      </c>
      <c r="Q126" s="97">
        <v>12387</v>
      </c>
      <c r="R126" s="97">
        <v>201</v>
      </c>
      <c r="S126" s="252">
        <f t="shared" si="15"/>
        <v>89.76</v>
      </c>
      <c r="T126" s="170"/>
    </row>
    <row r="127" spans="1:20" s="22" customFormat="1" ht="10.5" customHeight="1" hidden="1">
      <c r="A127" s="167"/>
      <c r="B127" s="98" t="s">
        <v>236</v>
      </c>
      <c r="C127" s="97">
        <v>187898</v>
      </c>
      <c r="D127" s="91">
        <f t="shared" si="16"/>
        <v>213570</v>
      </c>
      <c r="E127" s="91">
        <f>SUM(F127:M127)</f>
        <v>190399</v>
      </c>
      <c r="F127" s="97" t="s">
        <v>71</v>
      </c>
      <c r="G127" s="97">
        <v>76</v>
      </c>
      <c r="H127" s="97">
        <v>79915</v>
      </c>
      <c r="I127" s="97">
        <f>30249+7002</f>
        <v>37251</v>
      </c>
      <c r="J127" s="97">
        <v>1347</v>
      </c>
      <c r="K127" s="97">
        <f>2330+937+1724+614+558</f>
        <v>6163</v>
      </c>
      <c r="L127" s="97">
        <v>39508</v>
      </c>
      <c r="M127" s="97">
        <v>26139</v>
      </c>
      <c r="N127" s="97">
        <v>75</v>
      </c>
      <c r="O127" s="97">
        <v>9151</v>
      </c>
      <c r="P127" s="97">
        <v>1313</v>
      </c>
      <c r="Q127" s="97">
        <v>12376</v>
      </c>
      <c r="R127" s="97">
        <v>256</v>
      </c>
      <c r="S127" s="252">
        <f t="shared" si="15"/>
        <v>89.19</v>
      </c>
      <c r="T127" s="170"/>
    </row>
    <row r="128" spans="1:20" s="22" customFormat="1" ht="10.5" customHeight="1" hidden="1">
      <c r="A128" s="167"/>
      <c r="B128" s="98" t="s">
        <v>244</v>
      </c>
      <c r="C128" s="97">
        <v>179094</v>
      </c>
      <c r="D128" s="91">
        <f t="shared" si="16"/>
        <v>203489</v>
      </c>
      <c r="E128" s="91">
        <f t="shared" si="14"/>
        <v>180015</v>
      </c>
      <c r="F128" s="240">
        <v>4</v>
      </c>
      <c r="G128" s="97">
        <v>61</v>
      </c>
      <c r="H128" s="97">
        <v>79084</v>
      </c>
      <c r="I128" s="97">
        <f>23373+6828</f>
        <v>30201</v>
      </c>
      <c r="J128" s="97">
        <v>1590</v>
      </c>
      <c r="K128" s="97">
        <f>2698+994+1774+586+695</f>
        <v>6747</v>
      </c>
      <c r="L128" s="97">
        <v>39580</v>
      </c>
      <c r="M128" s="97">
        <v>22748</v>
      </c>
      <c r="N128" s="97">
        <v>66</v>
      </c>
      <c r="O128" s="97">
        <v>8373</v>
      </c>
      <c r="P128" s="97">
        <v>1136</v>
      </c>
      <c r="Q128" s="97">
        <v>13681</v>
      </c>
      <c r="R128" s="97">
        <v>218</v>
      </c>
      <c r="S128" s="252">
        <f t="shared" si="15"/>
        <v>88.5</v>
      </c>
      <c r="T128" s="170"/>
    </row>
    <row r="129" spans="1:20" s="22" customFormat="1" ht="9.75" customHeight="1" hidden="1">
      <c r="A129" s="167"/>
      <c r="B129" s="98" t="s">
        <v>248</v>
      </c>
      <c r="C129" s="97">
        <v>175063</v>
      </c>
      <c r="D129" s="91">
        <f t="shared" si="16"/>
        <v>198336</v>
      </c>
      <c r="E129" s="91">
        <f>SUM(F129:M129)</f>
        <v>175243</v>
      </c>
      <c r="F129" s="240">
        <v>5</v>
      </c>
      <c r="G129" s="97">
        <v>45</v>
      </c>
      <c r="H129" s="97">
        <v>79205</v>
      </c>
      <c r="I129" s="97">
        <f>22417+7252</f>
        <v>29669</v>
      </c>
      <c r="J129" s="97">
        <v>1737</v>
      </c>
      <c r="K129" s="97">
        <f>3021+957+2029+521+704</f>
        <v>7232</v>
      </c>
      <c r="L129" s="97">
        <v>35483</v>
      </c>
      <c r="M129" s="97">
        <v>21867</v>
      </c>
      <c r="N129" s="97">
        <v>57</v>
      </c>
      <c r="O129" s="97">
        <v>7127</v>
      </c>
      <c r="P129" s="97">
        <v>943</v>
      </c>
      <c r="Q129" s="97">
        <v>14766</v>
      </c>
      <c r="R129" s="97">
        <v>200</v>
      </c>
      <c r="S129" s="252">
        <f t="shared" si="15"/>
        <v>88.39</v>
      </c>
      <c r="T129" s="170"/>
    </row>
    <row r="130" spans="1:20" s="22" customFormat="1" ht="9.75" customHeight="1" hidden="1">
      <c r="A130" s="167"/>
      <c r="B130" s="98" t="s">
        <v>259</v>
      </c>
      <c r="C130" s="97">
        <v>173856</v>
      </c>
      <c r="D130" s="91">
        <f>+E130+N130+O130+P130+Q130+R130</f>
        <v>197202</v>
      </c>
      <c r="E130" s="91">
        <f>SUM(F130:M130)</f>
        <v>173797</v>
      </c>
      <c r="F130" s="240">
        <v>1</v>
      </c>
      <c r="G130" s="97">
        <v>54</v>
      </c>
      <c r="H130" s="97">
        <v>78987</v>
      </c>
      <c r="I130" s="97">
        <v>29167</v>
      </c>
      <c r="J130" s="97">
        <v>1795</v>
      </c>
      <c r="K130" s="97">
        <f>3285+943+2006+434+595</f>
        <v>7263</v>
      </c>
      <c r="L130" s="97">
        <v>34773</v>
      </c>
      <c r="M130" s="97">
        <v>21757</v>
      </c>
      <c r="N130" s="97">
        <v>67</v>
      </c>
      <c r="O130" s="97">
        <v>7366</v>
      </c>
      <c r="P130" s="97">
        <v>767</v>
      </c>
      <c r="Q130" s="97">
        <v>15000</v>
      </c>
      <c r="R130" s="97">
        <v>205</v>
      </c>
      <c r="S130" s="252">
        <f>+ROUND((E130+N130)/(E130+N130+O130)*100,2)</f>
        <v>95.94</v>
      </c>
      <c r="T130" s="170"/>
    </row>
    <row r="131" spans="1:20" s="106" customFormat="1" ht="10.5" customHeight="1" hidden="1">
      <c r="A131" s="167"/>
      <c r="B131" s="98" t="s">
        <v>267</v>
      </c>
      <c r="C131" s="97">
        <v>169392</v>
      </c>
      <c r="D131" s="91">
        <f>+E131+N131+O131+P131+Q131+R131</f>
        <v>190469</v>
      </c>
      <c r="E131" s="91">
        <f>SUM(F131:M131)</f>
        <v>168544</v>
      </c>
      <c r="F131" s="240">
        <v>11</v>
      </c>
      <c r="G131" s="97">
        <v>48</v>
      </c>
      <c r="H131" s="97">
        <v>88316</v>
      </c>
      <c r="I131" s="97">
        <f>19149+6365</f>
        <v>25514</v>
      </c>
      <c r="J131" s="97">
        <v>1731</v>
      </c>
      <c r="K131" s="97">
        <f>3088+742+1894+334+487</f>
        <v>6545</v>
      </c>
      <c r="L131" s="97">
        <v>28862</v>
      </c>
      <c r="M131" s="97">
        <v>17517</v>
      </c>
      <c r="N131" s="97">
        <v>51</v>
      </c>
      <c r="O131" s="97">
        <v>6481</v>
      </c>
      <c r="P131" s="97">
        <v>700</v>
      </c>
      <c r="Q131" s="97">
        <v>14454</v>
      </c>
      <c r="R131" s="97">
        <v>239</v>
      </c>
      <c r="S131" s="252">
        <f>+ROUND((E131+N131)/(E131+N131+O131)*100,2)</f>
        <v>96.3</v>
      </c>
      <c r="T131" s="271"/>
    </row>
    <row r="132" spans="1:20" s="106" customFormat="1" ht="12.75" customHeight="1">
      <c r="A132" s="167"/>
      <c r="B132" s="98" t="s">
        <v>303</v>
      </c>
      <c r="C132" s="97">
        <v>186250</v>
      </c>
      <c r="D132" s="91">
        <f>+E132+N132+O132+P132+Q132+R132</f>
        <v>204062</v>
      </c>
      <c r="E132" s="91">
        <f>SUM(F132:M132)</f>
        <v>181039</v>
      </c>
      <c r="F132" s="240">
        <v>1</v>
      </c>
      <c r="G132" s="97">
        <v>24</v>
      </c>
      <c r="H132" s="97">
        <v>120352</v>
      </c>
      <c r="I132" s="97">
        <f>16529+7537</f>
        <v>24066</v>
      </c>
      <c r="J132" s="97">
        <v>1364</v>
      </c>
      <c r="K132" s="97">
        <f>2296+468+1186+154+229</f>
        <v>4333</v>
      </c>
      <c r="L132" s="97">
        <v>22742</v>
      </c>
      <c r="M132" s="97">
        <v>8157</v>
      </c>
      <c r="N132" s="97">
        <v>93</v>
      </c>
      <c r="O132" s="97">
        <v>6143</v>
      </c>
      <c r="P132" s="97">
        <v>650</v>
      </c>
      <c r="Q132" s="97">
        <v>15891</v>
      </c>
      <c r="R132" s="97">
        <v>246</v>
      </c>
      <c r="S132" s="252">
        <f>+ROUND((E132+N132)/(E132+N132+O132)*100,2)</f>
        <v>96.72</v>
      </c>
      <c r="T132" s="271"/>
    </row>
    <row r="133" spans="1:20" s="106" customFormat="1" ht="10.5" customHeight="1">
      <c r="A133" s="167"/>
      <c r="B133" s="98" t="s">
        <v>313</v>
      </c>
      <c r="C133" s="97">
        <v>199579</v>
      </c>
      <c r="D133" s="91">
        <f>+E133+N133+O133+P133+Q133+R133</f>
        <v>217372</v>
      </c>
      <c r="E133" s="91">
        <f>SUM(F133:M133)</f>
        <v>192451</v>
      </c>
      <c r="F133" s="240">
        <v>0</v>
      </c>
      <c r="G133" s="97">
        <v>22</v>
      </c>
      <c r="H133" s="97">
        <v>125293</v>
      </c>
      <c r="I133" s="97">
        <f>17369+8326</f>
        <v>25695</v>
      </c>
      <c r="J133" s="97">
        <v>1365</v>
      </c>
      <c r="K133" s="97">
        <f>2683+485+1305+150+204</f>
        <v>4827</v>
      </c>
      <c r="L133" s="97">
        <v>27174</v>
      </c>
      <c r="M133" s="97">
        <v>8075</v>
      </c>
      <c r="N133" s="97">
        <v>88</v>
      </c>
      <c r="O133" s="97">
        <v>6525</v>
      </c>
      <c r="P133" s="97">
        <v>710</v>
      </c>
      <c r="Q133" s="97">
        <v>17303</v>
      </c>
      <c r="R133" s="97">
        <v>295</v>
      </c>
      <c r="S133" s="252">
        <f>+ROUND((E133+N133)/(E133+N133+O133)*100,2)</f>
        <v>96.72</v>
      </c>
      <c r="T133" s="271"/>
    </row>
    <row r="134" spans="1:20" s="106" customFormat="1" ht="10.5" customHeight="1">
      <c r="A134" s="167"/>
      <c r="B134" s="98" t="s">
        <v>321</v>
      </c>
      <c r="C134" s="97">
        <v>201088</v>
      </c>
      <c r="D134" s="91">
        <f>+E134+N134+O134+P134+Q134+R134</f>
        <v>218161</v>
      </c>
      <c r="E134" s="91">
        <f>SUM(F134:M134)</f>
        <v>192434</v>
      </c>
      <c r="F134" s="97">
        <v>1</v>
      </c>
      <c r="G134" s="97">
        <v>22</v>
      </c>
      <c r="H134" s="97">
        <v>122012</v>
      </c>
      <c r="I134" s="97">
        <f>16861+9292</f>
        <v>26153</v>
      </c>
      <c r="J134" s="97">
        <v>1709</v>
      </c>
      <c r="K134" s="97">
        <f>3077+514+1447+156+242</f>
        <v>5436</v>
      </c>
      <c r="L134" s="97">
        <v>28888</v>
      </c>
      <c r="M134" s="97">
        <v>8213</v>
      </c>
      <c r="N134" s="97">
        <v>120</v>
      </c>
      <c r="O134" s="97">
        <v>6645</v>
      </c>
      <c r="P134" s="97">
        <v>706</v>
      </c>
      <c r="Q134" s="97">
        <v>17816</v>
      </c>
      <c r="R134" s="97">
        <v>440</v>
      </c>
      <c r="S134" s="252">
        <f>+ROUND((E134+N134)/(E134+N134+O134)*100,2)</f>
        <v>96.66</v>
      </c>
      <c r="T134" s="271"/>
    </row>
    <row r="135" spans="1:20" s="106" customFormat="1" ht="12" customHeight="1">
      <c r="A135" s="167"/>
      <c r="B135" s="98" t="s">
        <v>331</v>
      </c>
      <c r="C135" s="169">
        <v>191578</v>
      </c>
      <c r="D135" s="91">
        <f>+E135+N135+O135+P135+Q135+R135</f>
        <v>209103</v>
      </c>
      <c r="E135" s="91">
        <f>SUM(F135:M135)</f>
        <v>183013</v>
      </c>
      <c r="F135" s="97">
        <v>0</v>
      </c>
      <c r="G135" s="97">
        <v>25</v>
      </c>
      <c r="H135" s="97">
        <v>113318</v>
      </c>
      <c r="I135" s="97">
        <f>14866+9647</f>
        <v>24513</v>
      </c>
      <c r="J135" s="97">
        <v>1904</v>
      </c>
      <c r="K135" s="97">
        <f>2937+477+1386+146+180</f>
        <v>5126</v>
      </c>
      <c r="L135" s="97">
        <v>29863</v>
      </c>
      <c r="M135" s="97">
        <v>8264</v>
      </c>
      <c r="N135" s="97">
        <v>145</v>
      </c>
      <c r="O135" s="97">
        <v>6706</v>
      </c>
      <c r="P135" s="97">
        <v>678</v>
      </c>
      <c r="Q135" s="97">
        <v>18267</v>
      </c>
      <c r="R135" s="97">
        <v>294</v>
      </c>
      <c r="S135" s="252">
        <f>ROUND((E135+N135)/(E135+N135+O135)*100,2)</f>
        <v>96.47</v>
      </c>
      <c r="T135" s="271"/>
    </row>
    <row r="136" spans="1:19" ht="14.25" customHeight="1" thickBot="1">
      <c r="A136" s="186"/>
      <c r="B136" s="313" t="s">
        <v>362</v>
      </c>
      <c r="C136" s="310">
        <v>186194</v>
      </c>
      <c r="D136" s="304">
        <v>205995</v>
      </c>
      <c r="E136" s="304">
        <v>177687</v>
      </c>
      <c r="F136" s="311">
        <v>5</v>
      </c>
      <c r="G136" s="311">
        <v>31</v>
      </c>
      <c r="H136" s="311">
        <v>105938</v>
      </c>
      <c r="I136" s="311">
        <v>22859</v>
      </c>
      <c r="J136" s="311">
        <v>1979</v>
      </c>
      <c r="K136" s="311">
        <v>6077</v>
      </c>
      <c r="L136" s="311">
        <v>31570</v>
      </c>
      <c r="M136" s="311">
        <v>9228</v>
      </c>
      <c r="N136" s="311">
        <v>178</v>
      </c>
      <c r="O136" s="311">
        <v>6883</v>
      </c>
      <c r="P136" s="311">
        <v>907</v>
      </c>
      <c r="Q136" s="311">
        <v>20096</v>
      </c>
      <c r="R136" s="311">
        <v>244</v>
      </c>
      <c r="S136" s="407">
        <f>ROUND((E136+N136)/(E136+N136+O136)*100,2)</f>
        <v>96.27</v>
      </c>
    </row>
  </sheetData>
  <sheetProtection/>
  <mergeCells count="3">
    <mergeCell ref="A3:B14"/>
    <mergeCell ref="R1:S1"/>
    <mergeCell ref="A15:A116"/>
  </mergeCells>
  <printOptions horizontalCentered="1" verticalCentered="1"/>
  <pageMargins left="0.15748031496062992" right="0.15748031496062992" top="0.17" bottom="0.17" header="0.17" footer="0.17"/>
  <pageSetup horizontalDpi="600" verticalDpi="600" orientation="landscape" paperSize="9" scale="92" r:id="rId3"/>
  <legacyDrawing r:id="rId2"/>
</worksheet>
</file>

<file path=xl/worksheets/sheet7.xml><?xml version="1.0" encoding="utf-8"?>
<worksheet xmlns="http://schemas.openxmlformats.org/spreadsheetml/2006/main" xmlns:r="http://schemas.openxmlformats.org/officeDocument/2006/relationships">
  <dimension ref="A1:T46"/>
  <sheetViews>
    <sheetView zoomScaleSheetLayoutView="90" zoomScalePageLayoutView="0" workbookViewId="0" topLeftCell="A1">
      <pane xSplit="3" ySplit="7" topLeftCell="D17" activePane="bottomRight" state="frozen"/>
      <selection pane="topLeft" activeCell="A1" sqref="A1"/>
      <selection pane="topRight" activeCell="D1" sqref="D1"/>
      <selection pane="bottomLeft" activeCell="A8" sqref="A8"/>
      <selection pane="bottomRight" activeCell="B16" sqref="B16"/>
    </sheetView>
  </sheetViews>
  <sheetFormatPr defaultColWidth="8.875" defaultRowHeight="16.5"/>
  <cols>
    <col min="1" max="1" width="20.25390625" style="392" customWidth="1"/>
    <col min="2" max="2" width="31.625" style="393" customWidth="1"/>
    <col min="3" max="3" width="9.375" style="393" hidden="1" customWidth="1"/>
    <col min="4" max="4" width="6.00390625" style="369" customWidth="1"/>
    <col min="5" max="5" width="7.00390625" style="369" customWidth="1"/>
    <col min="6" max="6" width="7.25390625" style="369" customWidth="1"/>
    <col min="7" max="7" width="5.50390625" style="369" customWidth="1"/>
    <col min="8" max="8" width="5.625" style="369" customWidth="1"/>
    <col min="9" max="15" width="5.75390625" style="369" customWidth="1"/>
    <col min="16" max="19" width="5.375" style="369" customWidth="1"/>
    <col min="20" max="20" width="5.375" style="395" customWidth="1"/>
    <col min="21" max="16384" width="8.875" style="369" customWidth="1"/>
  </cols>
  <sheetData>
    <row r="1" spans="1:20" s="368" customFormat="1" ht="34.5" customHeight="1">
      <c r="A1" s="495" t="s">
        <v>426</v>
      </c>
      <c r="B1" s="495"/>
      <c r="C1" s="495"/>
      <c r="D1" s="495"/>
      <c r="E1" s="495"/>
      <c r="F1" s="495"/>
      <c r="G1" s="495"/>
      <c r="H1" s="495"/>
      <c r="I1" s="495"/>
      <c r="J1" s="495"/>
      <c r="K1" s="495"/>
      <c r="L1" s="495"/>
      <c r="M1" s="495"/>
      <c r="N1" s="495"/>
      <c r="O1" s="495"/>
      <c r="P1" s="495"/>
      <c r="Q1" s="495"/>
      <c r="R1" s="495"/>
      <c r="S1" s="495"/>
      <c r="T1" s="495"/>
    </row>
    <row r="2" spans="1:20" s="368" customFormat="1" ht="19.5" customHeight="1">
      <c r="A2" s="496" t="s">
        <v>369</v>
      </c>
      <c r="B2" s="496"/>
      <c r="C2" s="496"/>
      <c r="D2" s="496"/>
      <c r="E2" s="496"/>
      <c r="F2" s="496"/>
      <c r="G2" s="496"/>
      <c r="H2" s="496"/>
      <c r="I2" s="496"/>
      <c r="J2" s="496"/>
      <c r="K2" s="496"/>
      <c r="L2" s="496"/>
      <c r="M2" s="496"/>
      <c r="N2" s="496"/>
      <c r="O2" s="496"/>
      <c r="P2" s="496"/>
      <c r="Q2" s="496"/>
      <c r="R2" s="496"/>
      <c r="S2" s="496"/>
      <c r="T2" s="496"/>
    </row>
    <row r="3" spans="1:20" ht="18" customHeight="1">
      <c r="A3" s="497" t="s">
        <v>407</v>
      </c>
      <c r="B3" s="497"/>
      <c r="C3" s="497"/>
      <c r="D3" s="497"/>
      <c r="E3" s="497"/>
      <c r="F3" s="497"/>
      <c r="G3" s="497"/>
      <c r="H3" s="497"/>
      <c r="I3" s="497"/>
      <c r="J3" s="497"/>
      <c r="K3" s="497"/>
      <c r="L3" s="497"/>
      <c r="M3" s="497"/>
      <c r="N3" s="497"/>
      <c r="O3" s="497"/>
      <c r="P3" s="497"/>
      <c r="Q3" s="497"/>
      <c r="R3" s="497"/>
      <c r="S3" s="497"/>
      <c r="T3" s="497"/>
    </row>
    <row r="4" spans="1:20" ht="16.5">
      <c r="A4" s="498" t="s">
        <v>371</v>
      </c>
      <c r="B4" s="499"/>
      <c r="C4" s="370"/>
      <c r="D4" s="504" t="s">
        <v>408</v>
      </c>
      <c r="E4" s="371" t="s">
        <v>409</v>
      </c>
      <c r="F4" s="372"/>
      <c r="G4" s="372"/>
      <c r="H4" s="372"/>
      <c r="I4" s="372"/>
      <c r="J4" s="372"/>
      <c r="K4" s="372"/>
      <c r="L4" s="372"/>
      <c r="M4" s="372"/>
      <c r="N4" s="372"/>
      <c r="O4" s="372"/>
      <c r="P4" s="372"/>
      <c r="Q4" s="372"/>
      <c r="R4" s="372"/>
      <c r="S4" s="372"/>
      <c r="T4" s="373"/>
    </row>
    <row r="5" spans="1:20" ht="15.75" customHeight="1">
      <c r="A5" s="500"/>
      <c r="B5" s="501"/>
      <c r="C5" s="375"/>
      <c r="D5" s="505"/>
      <c r="E5" s="483" t="s">
        <v>374</v>
      </c>
      <c r="F5" s="371" t="s">
        <v>410</v>
      </c>
      <c r="G5" s="372"/>
      <c r="H5" s="372"/>
      <c r="I5" s="372"/>
      <c r="J5" s="372"/>
      <c r="K5" s="372"/>
      <c r="L5" s="372"/>
      <c r="M5" s="372"/>
      <c r="N5" s="373"/>
      <c r="O5" s="376"/>
      <c r="P5" s="483" t="s">
        <v>411</v>
      </c>
      <c r="Q5" s="483" t="s">
        <v>412</v>
      </c>
      <c r="R5" s="483" t="s">
        <v>413</v>
      </c>
      <c r="S5" s="483" t="s">
        <v>414</v>
      </c>
      <c r="T5" s="490" t="s">
        <v>376</v>
      </c>
    </row>
    <row r="6" spans="1:20" ht="15" customHeight="1">
      <c r="A6" s="500"/>
      <c r="B6" s="501"/>
      <c r="C6" s="375"/>
      <c r="D6" s="484"/>
      <c r="E6" s="484"/>
      <c r="F6" s="493" t="s">
        <v>415</v>
      </c>
      <c r="G6" s="493" t="s">
        <v>416</v>
      </c>
      <c r="H6" s="493" t="s">
        <v>417</v>
      </c>
      <c r="I6" s="377" t="s">
        <v>418</v>
      </c>
      <c r="J6" s="378"/>
      <c r="K6" s="378"/>
      <c r="L6" s="378"/>
      <c r="M6" s="378"/>
      <c r="N6" s="493" t="s">
        <v>419</v>
      </c>
      <c r="O6" s="493" t="s">
        <v>420</v>
      </c>
      <c r="P6" s="484"/>
      <c r="Q6" s="484"/>
      <c r="R6" s="484"/>
      <c r="S6" s="484"/>
      <c r="T6" s="491"/>
    </row>
    <row r="7" spans="1:20" ht="75" customHeight="1">
      <c r="A7" s="502"/>
      <c r="B7" s="503"/>
      <c r="C7" s="379"/>
      <c r="D7" s="485"/>
      <c r="E7" s="485"/>
      <c r="F7" s="494"/>
      <c r="G7" s="494"/>
      <c r="H7" s="494"/>
      <c r="I7" s="380" t="s">
        <v>421</v>
      </c>
      <c r="J7" s="380" t="s">
        <v>422</v>
      </c>
      <c r="K7" s="380" t="s">
        <v>423</v>
      </c>
      <c r="L7" s="380" t="s">
        <v>424</v>
      </c>
      <c r="M7" s="400" t="s">
        <v>427</v>
      </c>
      <c r="N7" s="494"/>
      <c r="O7" s="494"/>
      <c r="P7" s="485"/>
      <c r="Q7" s="485"/>
      <c r="R7" s="485"/>
      <c r="S7" s="485"/>
      <c r="T7" s="492"/>
    </row>
    <row r="8" spans="1:20" ht="15" customHeight="1">
      <c r="A8" s="451" t="s">
        <v>195</v>
      </c>
      <c r="B8" s="381" t="str">
        <f>C8</f>
        <v>計</v>
      </c>
      <c r="C8" s="374" t="s">
        <v>8</v>
      </c>
      <c r="D8" s="382">
        <v>27</v>
      </c>
      <c r="E8" s="382">
        <v>39</v>
      </c>
      <c r="F8" s="382">
        <v>30</v>
      </c>
      <c r="G8" s="383">
        <v>0</v>
      </c>
      <c r="H8" s="383">
        <v>0</v>
      </c>
      <c r="I8" s="382">
        <v>13</v>
      </c>
      <c r="J8" s="383">
        <v>0</v>
      </c>
      <c r="K8" s="383">
        <v>0</v>
      </c>
      <c r="L8" s="383">
        <v>0</v>
      </c>
      <c r="M8" s="383">
        <v>0</v>
      </c>
      <c r="N8" s="382">
        <v>6</v>
      </c>
      <c r="O8" s="382">
        <v>11</v>
      </c>
      <c r="P8" s="383">
        <v>0</v>
      </c>
      <c r="Q8" s="382">
        <v>9</v>
      </c>
      <c r="R8" s="383">
        <v>0</v>
      </c>
      <c r="S8" s="383">
        <v>0</v>
      </c>
      <c r="T8" s="384">
        <v>0</v>
      </c>
    </row>
    <row r="9" spans="1:20" ht="57">
      <c r="A9" s="452"/>
      <c r="B9" s="419" t="s">
        <v>460</v>
      </c>
      <c r="C9" s="374" t="s">
        <v>381</v>
      </c>
      <c r="D9" s="383"/>
      <c r="E9" s="383"/>
      <c r="F9" s="383">
        <v>0</v>
      </c>
      <c r="G9" s="383">
        <v>0</v>
      </c>
      <c r="H9" s="383">
        <v>0</v>
      </c>
      <c r="I9" s="383">
        <v>0</v>
      </c>
      <c r="J9" s="383">
        <v>0</v>
      </c>
      <c r="K9" s="383">
        <v>0</v>
      </c>
      <c r="L9" s="383">
        <v>0</v>
      </c>
      <c r="M9" s="383">
        <v>0</v>
      </c>
      <c r="N9" s="383">
        <v>0</v>
      </c>
      <c r="O9" s="383">
        <v>0</v>
      </c>
      <c r="P9" s="383">
        <v>0</v>
      </c>
      <c r="Q9" s="383"/>
      <c r="R9" s="383"/>
      <c r="S9" s="383"/>
      <c r="T9" s="384"/>
    </row>
    <row r="10" spans="1:20" ht="57" customHeight="1">
      <c r="A10" s="452"/>
      <c r="B10" s="419" t="s">
        <v>436</v>
      </c>
      <c r="C10" s="374" t="s">
        <v>382</v>
      </c>
      <c r="D10" s="382"/>
      <c r="E10" s="382"/>
      <c r="F10" s="383">
        <v>1</v>
      </c>
      <c r="G10" s="383">
        <v>0</v>
      </c>
      <c r="H10" s="383">
        <v>0</v>
      </c>
      <c r="I10" s="383">
        <v>1</v>
      </c>
      <c r="J10" s="383">
        <v>0</v>
      </c>
      <c r="K10" s="383">
        <v>0</v>
      </c>
      <c r="L10" s="383">
        <v>0</v>
      </c>
      <c r="M10" s="383">
        <v>0</v>
      </c>
      <c r="N10" s="383">
        <v>0</v>
      </c>
      <c r="O10" s="383">
        <v>0</v>
      </c>
      <c r="P10" s="383">
        <v>0</v>
      </c>
      <c r="Q10" s="382"/>
      <c r="R10" s="383"/>
      <c r="S10" s="383"/>
      <c r="T10" s="420"/>
    </row>
    <row r="11" spans="1:20" ht="57.75" customHeight="1">
      <c r="A11" s="452"/>
      <c r="B11" s="385" t="s">
        <v>437</v>
      </c>
      <c r="C11" s="374" t="s">
        <v>383</v>
      </c>
      <c r="D11" s="383"/>
      <c r="E11" s="383"/>
      <c r="F11" s="383">
        <v>0</v>
      </c>
      <c r="G11" s="383">
        <v>0</v>
      </c>
      <c r="H11" s="383">
        <v>0</v>
      </c>
      <c r="I11" s="383">
        <v>0</v>
      </c>
      <c r="J11" s="383">
        <v>0</v>
      </c>
      <c r="K11" s="383">
        <v>0</v>
      </c>
      <c r="L11" s="383">
        <v>0</v>
      </c>
      <c r="M11" s="383">
        <v>0</v>
      </c>
      <c r="N11" s="383">
        <v>0</v>
      </c>
      <c r="O11" s="383">
        <v>0</v>
      </c>
      <c r="P11" s="383">
        <v>0</v>
      </c>
      <c r="Q11" s="383"/>
      <c r="R11" s="383"/>
      <c r="S11" s="383"/>
      <c r="T11" s="384"/>
    </row>
    <row r="12" spans="1:20" ht="42.75" customHeight="1">
      <c r="A12" s="452"/>
      <c r="B12" s="419" t="s">
        <v>438</v>
      </c>
      <c r="C12" s="374" t="s">
        <v>384</v>
      </c>
      <c r="D12" s="382"/>
      <c r="E12" s="382"/>
      <c r="F12" s="383">
        <v>0</v>
      </c>
      <c r="G12" s="383">
        <v>0</v>
      </c>
      <c r="H12" s="383">
        <v>0</v>
      </c>
      <c r="I12" s="383">
        <v>0</v>
      </c>
      <c r="J12" s="383">
        <v>0</v>
      </c>
      <c r="K12" s="383">
        <v>0</v>
      </c>
      <c r="L12" s="383">
        <v>0</v>
      </c>
      <c r="M12" s="383">
        <v>0</v>
      </c>
      <c r="N12" s="383">
        <v>0</v>
      </c>
      <c r="O12" s="383">
        <v>0</v>
      </c>
      <c r="P12" s="383">
        <v>0</v>
      </c>
      <c r="Q12" s="383"/>
      <c r="R12" s="383"/>
      <c r="S12" s="383"/>
      <c r="T12" s="384"/>
    </row>
    <row r="13" spans="1:20" ht="57">
      <c r="A13" s="452"/>
      <c r="B13" s="419" t="s">
        <v>439</v>
      </c>
      <c r="C13" s="374" t="s">
        <v>385</v>
      </c>
      <c r="D13" s="383"/>
      <c r="E13" s="383"/>
      <c r="F13" s="383">
        <v>2</v>
      </c>
      <c r="G13" s="383">
        <v>0</v>
      </c>
      <c r="H13" s="383">
        <v>0</v>
      </c>
      <c r="I13" s="383">
        <v>0</v>
      </c>
      <c r="J13" s="383">
        <v>0</v>
      </c>
      <c r="K13" s="383">
        <v>0</v>
      </c>
      <c r="L13" s="383">
        <v>0</v>
      </c>
      <c r="M13" s="383">
        <v>0</v>
      </c>
      <c r="N13" s="383">
        <v>2</v>
      </c>
      <c r="O13" s="383">
        <v>0</v>
      </c>
      <c r="P13" s="383">
        <v>0</v>
      </c>
      <c r="Q13" s="383"/>
      <c r="R13" s="383"/>
      <c r="S13" s="383"/>
      <c r="T13" s="384"/>
    </row>
    <row r="14" spans="1:20" ht="57" customHeight="1">
      <c r="A14" s="452"/>
      <c r="B14" s="414" t="s">
        <v>441</v>
      </c>
      <c r="C14" s="374" t="s">
        <v>386</v>
      </c>
      <c r="D14" s="382"/>
      <c r="E14" s="382"/>
      <c r="F14" s="382">
        <v>23</v>
      </c>
      <c r="G14" s="383">
        <v>0</v>
      </c>
      <c r="H14" s="383">
        <v>0</v>
      </c>
      <c r="I14" s="382">
        <v>12</v>
      </c>
      <c r="J14" s="383">
        <v>0</v>
      </c>
      <c r="K14" s="383">
        <v>0</v>
      </c>
      <c r="L14" s="383">
        <v>0</v>
      </c>
      <c r="M14" s="383">
        <v>0</v>
      </c>
      <c r="N14" s="382">
        <v>4</v>
      </c>
      <c r="O14" s="382">
        <v>7</v>
      </c>
      <c r="P14" s="383">
        <v>0</v>
      </c>
      <c r="Q14" s="382"/>
      <c r="R14" s="383"/>
      <c r="S14" s="383"/>
      <c r="T14" s="384"/>
    </row>
    <row r="15" spans="1:20" ht="57" customHeight="1">
      <c r="A15" s="452"/>
      <c r="B15" s="414" t="s">
        <v>442</v>
      </c>
      <c r="C15" s="374" t="s">
        <v>387</v>
      </c>
      <c r="D15" s="382"/>
      <c r="E15" s="382"/>
      <c r="F15" s="383">
        <v>4</v>
      </c>
      <c r="G15" s="383">
        <v>0</v>
      </c>
      <c r="H15" s="383">
        <v>0</v>
      </c>
      <c r="I15" s="383">
        <v>0</v>
      </c>
      <c r="J15" s="383">
        <v>0</v>
      </c>
      <c r="K15" s="383">
        <v>0</v>
      </c>
      <c r="L15" s="383">
        <v>0</v>
      </c>
      <c r="M15" s="383">
        <v>0</v>
      </c>
      <c r="N15" s="383">
        <v>0</v>
      </c>
      <c r="O15" s="383">
        <v>4</v>
      </c>
      <c r="P15" s="383">
        <v>0</v>
      </c>
      <c r="Q15" s="382"/>
      <c r="R15" s="383"/>
      <c r="S15" s="383"/>
      <c r="T15" s="384"/>
    </row>
    <row r="16" spans="1:20" ht="15" customHeight="1">
      <c r="A16" s="453"/>
      <c r="B16" s="381" t="s">
        <v>134</v>
      </c>
      <c r="C16" s="374"/>
      <c r="D16" s="382"/>
      <c r="E16" s="382"/>
      <c r="F16" s="384">
        <v>0</v>
      </c>
      <c r="G16" s="384">
        <v>0</v>
      </c>
      <c r="H16" s="384">
        <v>0</v>
      </c>
      <c r="I16" s="384">
        <v>0</v>
      </c>
      <c r="J16" s="384">
        <v>0</v>
      </c>
      <c r="K16" s="384">
        <v>0</v>
      </c>
      <c r="L16" s="384">
        <v>0</v>
      </c>
      <c r="M16" s="384">
        <v>0</v>
      </c>
      <c r="N16" s="384">
        <v>0</v>
      </c>
      <c r="O16" s="384">
        <v>0</v>
      </c>
      <c r="P16" s="384">
        <v>0</v>
      </c>
      <c r="Q16" s="382"/>
      <c r="R16" s="383"/>
      <c r="S16" s="383"/>
      <c r="T16" s="384"/>
    </row>
    <row r="17" spans="1:20" ht="15" customHeight="1">
      <c r="A17" s="451" t="s">
        <v>136</v>
      </c>
      <c r="B17" s="381" t="str">
        <f>C17</f>
        <v>計</v>
      </c>
      <c r="C17" s="374" t="s">
        <v>8</v>
      </c>
      <c r="D17" s="386">
        <v>40</v>
      </c>
      <c r="E17" s="386">
        <v>52</v>
      </c>
      <c r="F17" s="386">
        <v>47</v>
      </c>
      <c r="G17" s="384">
        <v>0</v>
      </c>
      <c r="H17" s="384">
        <v>0</v>
      </c>
      <c r="I17" s="386">
        <v>17</v>
      </c>
      <c r="J17" s="386">
        <v>1</v>
      </c>
      <c r="K17" s="386">
        <v>6</v>
      </c>
      <c r="L17" s="386">
        <v>1</v>
      </c>
      <c r="M17" s="386">
        <v>1</v>
      </c>
      <c r="N17" s="386">
        <v>4</v>
      </c>
      <c r="O17" s="386">
        <v>17</v>
      </c>
      <c r="P17" s="384">
        <v>0</v>
      </c>
      <c r="Q17" s="386">
        <v>4</v>
      </c>
      <c r="R17" s="384">
        <v>0</v>
      </c>
      <c r="S17" s="386">
        <v>1</v>
      </c>
      <c r="T17" s="384">
        <v>0</v>
      </c>
    </row>
    <row r="18" spans="1:20" ht="15" customHeight="1">
      <c r="A18" s="452"/>
      <c r="B18" s="421" t="s">
        <v>443</v>
      </c>
      <c r="C18" s="374" t="s">
        <v>388</v>
      </c>
      <c r="D18" s="386"/>
      <c r="E18" s="386"/>
      <c r="F18" s="386">
        <v>18</v>
      </c>
      <c r="G18" s="384">
        <v>0</v>
      </c>
      <c r="H18" s="384">
        <v>0</v>
      </c>
      <c r="I18" s="386">
        <v>10</v>
      </c>
      <c r="J18" s="386">
        <v>1</v>
      </c>
      <c r="K18" s="384">
        <v>0</v>
      </c>
      <c r="L18" s="384">
        <v>0</v>
      </c>
      <c r="M18" s="384">
        <v>0</v>
      </c>
      <c r="N18" s="386">
        <v>4</v>
      </c>
      <c r="O18" s="386">
        <v>3</v>
      </c>
      <c r="P18" s="384">
        <v>0</v>
      </c>
      <c r="Q18" s="384"/>
      <c r="R18" s="384"/>
      <c r="S18" s="384"/>
      <c r="T18" s="384"/>
    </row>
    <row r="19" spans="1:20" ht="15" customHeight="1">
      <c r="A19" s="452"/>
      <c r="B19" s="421" t="s">
        <v>444</v>
      </c>
      <c r="C19" s="374" t="s">
        <v>389</v>
      </c>
      <c r="D19" s="386"/>
      <c r="E19" s="386"/>
      <c r="F19" s="386">
        <v>4</v>
      </c>
      <c r="G19" s="384">
        <v>0</v>
      </c>
      <c r="H19" s="384">
        <v>0</v>
      </c>
      <c r="I19" s="386">
        <v>3</v>
      </c>
      <c r="J19" s="384">
        <v>0</v>
      </c>
      <c r="K19" s="384">
        <v>0</v>
      </c>
      <c r="L19" s="384">
        <v>0</v>
      </c>
      <c r="M19" s="384">
        <v>0</v>
      </c>
      <c r="N19" s="384">
        <v>0</v>
      </c>
      <c r="O19" s="386">
        <v>1</v>
      </c>
      <c r="P19" s="384">
        <v>0</v>
      </c>
      <c r="Q19" s="384"/>
      <c r="R19" s="384"/>
      <c r="S19" s="384"/>
      <c r="T19" s="384"/>
    </row>
    <row r="20" spans="1:20" ht="15" customHeight="1">
      <c r="A20" s="452"/>
      <c r="B20" s="421" t="s">
        <v>445</v>
      </c>
      <c r="C20" s="374" t="s">
        <v>390</v>
      </c>
      <c r="D20" s="386"/>
      <c r="E20" s="386"/>
      <c r="F20" s="386">
        <v>13</v>
      </c>
      <c r="G20" s="384">
        <v>0</v>
      </c>
      <c r="H20" s="384">
        <v>0</v>
      </c>
      <c r="I20" s="386">
        <v>4</v>
      </c>
      <c r="J20" s="384">
        <v>0</v>
      </c>
      <c r="K20" s="386">
        <v>6</v>
      </c>
      <c r="L20" s="386">
        <v>1</v>
      </c>
      <c r="M20" s="384">
        <v>0</v>
      </c>
      <c r="N20" s="384">
        <v>0</v>
      </c>
      <c r="O20" s="386">
        <v>2</v>
      </c>
      <c r="P20" s="384">
        <v>0</v>
      </c>
      <c r="Q20" s="384"/>
      <c r="R20" s="384"/>
      <c r="S20" s="384"/>
      <c r="T20" s="384"/>
    </row>
    <row r="21" spans="1:20" ht="59.25" customHeight="1">
      <c r="A21" s="452"/>
      <c r="B21" s="422" t="s">
        <v>459</v>
      </c>
      <c r="C21" s="374" t="s">
        <v>391</v>
      </c>
      <c r="D21" s="386"/>
      <c r="E21" s="386"/>
      <c r="F21" s="386">
        <v>1</v>
      </c>
      <c r="G21" s="384">
        <v>0</v>
      </c>
      <c r="H21" s="384">
        <v>0</v>
      </c>
      <c r="I21" s="384">
        <v>0</v>
      </c>
      <c r="J21" s="384">
        <v>0</v>
      </c>
      <c r="K21" s="384">
        <v>0</v>
      </c>
      <c r="L21" s="384">
        <v>0</v>
      </c>
      <c r="M21" s="386">
        <v>1</v>
      </c>
      <c r="N21" s="384">
        <v>0</v>
      </c>
      <c r="O21" s="384">
        <v>0</v>
      </c>
      <c r="P21" s="384">
        <v>0</v>
      </c>
      <c r="Q21" s="384"/>
      <c r="R21" s="384"/>
      <c r="S21" s="384"/>
      <c r="T21" s="384"/>
    </row>
    <row r="22" spans="1:20" ht="32.25" customHeight="1">
      <c r="A22" s="452"/>
      <c r="B22" s="422" t="s">
        <v>446</v>
      </c>
      <c r="C22" s="374" t="s">
        <v>392</v>
      </c>
      <c r="D22" s="386"/>
      <c r="E22" s="386"/>
      <c r="F22" s="386">
        <v>11</v>
      </c>
      <c r="G22" s="384">
        <v>0</v>
      </c>
      <c r="H22" s="384">
        <v>0</v>
      </c>
      <c r="I22" s="384">
        <v>0</v>
      </c>
      <c r="J22" s="384">
        <v>0</v>
      </c>
      <c r="K22" s="384">
        <v>0</v>
      </c>
      <c r="L22" s="384">
        <v>0</v>
      </c>
      <c r="M22" s="384">
        <v>0</v>
      </c>
      <c r="N22" s="384">
        <v>0</v>
      </c>
      <c r="O22" s="386">
        <v>11</v>
      </c>
      <c r="P22" s="384">
        <v>0</v>
      </c>
      <c r="Q22" s="384"/>
      <c r="R22" s="384"/>
      <c r="S22" s="384"/>
      <c r="T22" s="384"/>
    </row>
    <row r="23" spans="1:20" ht="15" customHeight="1">
      <c r="A23" s="452"/>
      <c r="B23" s="381" t="str">
        <f>C23</f>
        <v>其他</v>
      </c>
      <c r="C23" s="387" t="s">
        <v>387</v>
      </c>
      <c r="D23" s="388"/>
      <c r="E23" s="386"/>
      <c r="F23" s="384">
        <v>0</v>
      </c>
      <c r="G23" s="384">
        <v>0</v>
      </c>
      <c r="H23" s="384">
        <v>0</v>
      </c>
      <c r="I23" s="384">
        <v>0</v>
      </c>
      <c r="J23" s="384">
        <v>0</v>
      </c>
      <c r="K23" s="384">
        <v>0</v>
      </c>
      <c r="L23" s="384">
        <v>0</v>
      </c>
      <c r="M23" s="384">
        <v>0</v>
      </c>
      <c r="N23" s="384">
        <v>0</v>
      </c>
      <c r="O23" s="384">
        <v>0</v>
      </c>
      <c r="P23" s="384">
        <v>0</v>
      </c>
      <c r="Q23" s="386"/>
      <c r="R23" s="384"/>
      <c r="S23" s="386"/>
      <c r="T23" s="384"/>
    </row>
    <row r="24" spans="1:20" ht="15" customHeight="1">
      <c r="A24" s="451" t="s">
        <v>137</v>
      </c>
      <c r="B24" s="381" t="str">
        <f>C24</f>
        <v>計</v>
      </c>
      <c r="C24" s="374" t="s">
        <v>8</v>
      </c>
      <c r="D24" s="382">
        <v>470</v>
      </c>
      <c r="E24" s="382">
        <v>698</v>
      </c>
      <c r="F24" s="382">
        <v>591</v>
      </c>
      <c r="G24" s="383">
        <v>0</v>
      </c>
      <c r="H24" s="383">
        <v>0</v>
      </c>
      <c r="I24" s="382">
        <v>160</v>
      </c>
      <c r="J24" s="382">
        <v>22</v>
      </c>
      <c r="K24" s="382">
        <v>327</v>
      </c>
      <c r="L24" s="382">
        <v>15</v>
      </c>
      <c r="M24" s="382">
        <v>4</v>
      </c>
      <c r="N24" s="382">
        <v>3</v>
      </c>
      <c r="O24" s="382">
        <v>60</v>
      </c>
      <c r="P24" s="383">
        <v>0</v>
      </c>
      <c r="Q24" s="382">
        <v>82</v>
      </c>
      <c r="R24" s="382">
        <v>12</v>
      </c>
      <c r="S24" s="382">
        <v>13</v>
      </c>
      <c r="T24" s="384">
        <v>0</v>
      </c>
    </row>
    <row r="25" spans="1:20" ht="42.75">
      <c r="A25" s="452"/>
      <c r="B25" s="414" t="s">
        <v>447</v>
      </c>
      <c r="C25" s="374" t="s">
        <v>393</v>
      </c>
      <c r="D25" s="383"/>
      <c r="E25" s="383"/>
      <c r="F25" s="383">
        <v>0</v>
      </c>
      <c r="G25" s="383">
        <v>0</v>
      </c>
      <c r="H25" s="383">
        <v>0</v>
      </c>
      <c r="I25" s="383">
        <v>0</v>
      </c>
      <c r="J25" s="383">
        <v>0</v>
      </c>
      <c r="K25" s="383">
        <v>0</v>
      </c>
      <c r="L25" s="383">
        <v>0</v>
      </c>
      <c r="M25" s="383">
        <v>0</v>
      </c>
      <c r="N25" s="383">
        <v>0</v>
      </c>
      <c r="O25" s="383">
        <v>0</v>
      </c>
      <c r="P25" s="383">
        <v>0</v>
      </c>
      <c r="Q25" s="383"/>
      <c r="R25" s="383"/>
      <c r="S25" s="383"/>
      <c r="T25" s="384"/>
    </row>
    <row r="26" spans="1:20" ht="15.75">
      <c r="A26" s="452"/>
      <c r="B26" s="414" t="s">
        <v>457</v>
      </c>
      <c r="C26" s="374"/>
      <c r="D26" s="383"/>
      <c r="E26" s="383"/>
      <c r="F26" s="383"/>
      <c r="G26" s="383"/>
      <c r="H26" s="383"/>
      <c r="I26" s="383"/>
      <c r="J26" s="383"/>
      <c r="K26" s="383"/>
      <c r="L26" s="383"/>
      <c r="M26" s="383"/>
      <c r="N26" s="383"/>
      <c r="O26" s="383"/>
      <c r="P26" s="383"/>
      <c r="Q26" s="383"/>
      <c r="R26" s="383"/>
      <c r="S26" s="383"/>
      <c r="T26" s="384"/>
    </row>
    <row r="27" spans="1:20" ht="15" customHeight="1">
      <c r="A27" s="452"/>
      <c r="B27" s="381" t="s">
        <v>448</v>
      </c>
      <c r="C27" s="374" t="s">
        <v>394</v>
      </c>
      <c r="D27" s="382"/>
      <c r="E27" s="382"/>
      <c r="F27" s="382">
        <v>20</v>
      </c>
      <c r="G27" s="383">
        <v>0</v>
      </c>
      <c r="H27" s="383">
        <v>0</v>
      </c>
      <c r="I27" s="382">
        <v>5</v>
      </c>
      <c r="J27" s="383">
        <v>0</v>
      </c>
      <c r="K27" s="382">
        <v>13</v>
      </c>
      <c r="L27" s="382">
        <v>1</v>
      </c>
      <c r="M27" s="383">
        <v>0</v>
      </c>
      <c r="N27" s="383">
        <v>0</v>
      </c>
      <c r="O27" s="382">
        <v>1</v>
      </c>
      <c r="P27" s="383">
        <v>0</v>
      </c>
      <c r="Q27" s="382"/>
      <c r="R27" s="383"/>
      <c r="S27" s="383"/>
      <c r="T27" s="384"/>
    </row>
    <row r="28" spans="1:20" ht="30.75" customHeight="1">
      <c r="A28" s="452"/>
      <c r="B28" s="423" t="s">
        <v>450</v>
      </c>
      <c r="C28" s="374" t="s">
        <v>395</v>
      </c>
      <c r="D28" s="382"/>
      <c r="E28" s="382"/>
      <c r="F28" s="382">
        <v>5</v>
      </c>
      <c r="G28" s="383">
        <v>0</v>
      </c>
      <c r="H28" s="383">
        <v>0</v>
      </c>
      <c r="I28" s="383">
        <v>0</v>
      </c>
      <c r="J28" s="383">
        <v>0</v>
      </c>
      <c r="K28" s="382">
        <v>2</v>
      </c>
      <c r="L28" s="382">
        <v>2</v>
      </c>
      <c r="M28" s="383">
        <v>0</v>
      </c>
      <c r="N28" s="383">
        <v>0</v>
      </c>
      <c r="O28" s="382">
        <v>1</v>
      </c>
      <c r="P28" s="383">
        <v>0</v>
      </c>
      <c r="Q28" s="383"/>
      <c r="R28" s="383"/>
      <c r="S28" s="383"/>
      <c r="T28" s="384"/>
    </row>
    <row r="29" spans="1:20" ht="30" customHeight="1">
      <c r="A29" s="452"/>
      <c r="B29" s="424" t="s">
        <v>452</v>
      </c>
      <c r="C29" s="374" t="s">
        <v>396</v>
      </c>
      <c r="D29" s="382"/>
      <c r="E29" s="382"/>
      <c r="F29" s="382">
        <v>74</v>
      </c>
      <c r="G29" s="383">
        <v>0</v>
      </c>
      <c r="H29" s="383">
        <v>0</v>
      </c>
      <c r="I29" s="382">
        <v>12</v>
      </c>
      <c r="J29" s="382">
        <v>1</v>
      </c>
      <c r="K29" s="382">
        <v>52</v>
      </c>
      <c r="L29" s="382">
        <v>7</v>
      </c>
      <c r="M29" s="383">
        <v>0</v>
      </c>
      <c r="N29" s="383">
        <v>0</v>
      </c>
      <c r="O29" s="382">
        <v>2</v>
      </c>
      <c r="P29" s="383">
        <v>0</v>
      </c>
      <c r="Q29" s="382"/>
      <c r="R29" s="382"/>
      <c r="S29" s="382"/>
      <c r="T29" s="384"/>
    </row>
    <row r="30" spans="1:20" ht="30" customHeight="1">
      <c r="A30" s="452"/>
      <c r="B30" s="424" t="s">
        <v>453</v>
      </c>
      <c r="C30" s="374" t="s">
        <v>397</v>
      </c>
      <c r="D30" s="382"/>
      <c r="E30" s="382"/>
      <c r="F30" s="413">
        <v>458</v>
      </c>
      <c r="G30" s="383">
        <v>0</v>
      </c>
      <c r="H30" s="383">
        <v>0</v>
      </c>
      <c r="I30" s="382">
        <v>137</v>
      </c>
      <c r="J30" s="382">
        <v>21</v>
      </c>
      <c r="K30" s="382">
        <v>260</v>
      </c>
      <c r="L30" s="382">
        <v>5</v>
      </c>
      <c r="M30" s="382">
        <v>4</v>
      </c>
      <c r="N30" s="383">
        <v>0</v>
      </c>
      <c r="O30" s="382">
        <v>31</v>
      </c>
      <c r="P30" s="383">
        <v>0</v>
      </c>
      <c r="Q30" s="382"/>
      <c r="R30" s="382"/>
      <c r="S30" s="382"/>
      <c r="T30" s="384"/>
    </row>
    <row r="31" spans="1:20" ht="60" customHeight="1">
      <c r="A31" s="452"/>
      <c r="B31" s="424" t="s">
        <v>454</v>
      </c>
      <c r="C31" s="374" t="s">
        <v>398</v>
      </c>
      <c r="D31" s="383"/>
      <c r="E31" s="383"/>
      <c r="F31" s="383">
        <v>0</v>
      </c>
      <c r="G31" s="383">
        <v>0</v>
      </c>
      <c r="H31" s="383">
        <v>0</v>
      </c>
      <c r="I31" s="383">
        <v>0</v>
      </c>
      <c r="J31" s="383">
        <v>0</v>
      </c>
      <c r="K31" s="383">
        <v>0</v>
      </c>
      <c r="L31" s="383">
        <v>0</v>
      </c>
      <c r="M31" s="383">
        <v>0</v>
      </c>
      <c r="N31" s="383">
        <v>0</v>
      </c>
      <c r="O31" s="383">
        <v>0</v>
      </c>
      <c r="P31" s="383">
        <v>0</v>
      </c>
      <c r="Q31" s="383"/>
      <c r="R31" s="383"/>
      <c r="S31" s="383"/>
      <c r="T31" s="384"/>
    </row>
    <row r="32" spans="1:20" ht="56.25" customHeight="1">
      <c r="A32" s="452"/>
      <c r="B32" s="424" t="s">
        <v>455</v>
      </c>
      <c r="C32" s="374" t="s">
        <v>399</v>
      </c>
      <c r="D32" s="383"/>
      <c r="E32" s="383"/>
      <c r="F32" s="383">
        <v>0</v>
      </c>
      <c r="G32" s="383">
        <v>0</v>
      </c>
      <c r="H32" s="383">
        <v>0</v>
      </c>
      <c r="I32" s="383">
        <v>0</v>
      </c>
      <c r="J32" s="383">
        <v>0</v>
      </c>
      <c r="K32" s="383">
        <v>0</v>
      </c>
      <c r="L32" s="383">
        <v>0</v>
      </c>
      <c r="M32" s="383">
        <v>0</v>
      </c>
      <c r="N32" s="383">
        <v>0</v>
      </c>
      <c r="O32" s="383">
        <v>0</v>
      </c>
      <c r="P32" s="383">
        <v>0</v>
      </c>
      <c r="Q32" s="383"/>
      <c r="R32" s="383"/>
      <c r="S32" s="383"/>
      <c r="T32" s="384"/>
    </row>
    <row r="33" spans="1:20" ht="64.5" customHeight="1">
      <c r="A33" s="452"/>
      <c r="B33" s="414" t="s">
        <v>456</v>
      </c>
      <c r="C33" s="374" t="s">
        <v>382</v>
      </c>
      <c r="D33" s="382"/>
      <c r="E33" s="382"/>
      <c r="F33" s="382">
        <v>25</v>
      </c>
      <c r="G33" s="383">
        <v>0</v>
      </c>
      <c r="H33" s="383">
        <v>0</v>
      </c>
      <c r="I33" s="383">
        <v>0</v>
      </c>
      <c r="J33" s="383">
        <v>0</v>
      </c>
      <c r="K33" s="383">
        <v>0</v>
      </c>
      <c r="L33" s="383">
        <v>0</v>
      </c>
      <c r="M33" s="383">
        <v>0</v>
      </c>
      <c r="N33" s="383">
        <v>0</v>
      </c>
      <c r="O33" s="382">
        <v>25</v>
      </c>
      <c r="P33" s="383">
        <v>0</v>
      </c>
      <c r="Q33" s="382"/>
      <c r="R33" s="383"/>
      <c r="S33" s="383"/>
      <c r="T33" s="384"/>
    </row>
    <row r="34" spans="1:20" ht="15" customHeight="1">
      <c r="A34" s="452"/>
      <c r="B34" s="416" t="s">
        <v>458</v>
      </c>
      <c r="C34" s="374" t="s">
        <v>383</v>
      </c>
      <c r="D34" s="386"/>
      <c r="E34" s="386"/>
      <c r="F34" s="386">
        <v>9</v>
      </c>
      <c r="G34" s="384">
        <v>0</v>
      </c>
      <c r="H34" s="384">
        <v>0</v>
      </c>
      <c r="I34" s="386">
        <v>6</v>
      </c>
      <c r="J34" s="384">
        <v>0</v>
      </c>
      <c r="K34" s="384">
        <v>0</v>
      </c>
      <c r="L34" s="384">
        <v>0</v>
      </c>
      <c r="M34" s="384">
        <v>0</v>
      </c>
      <c r="N34" s="386">
        <v>3</v>
      </c>
      <c r="O34" s="384">
        <v>0</v>
      </c>
      <c r="P34" s="384">
        <v>0</v>
      </c>
      <c r="Q34" s="386"/>
      <c r="R34" s="384"/>
      <c r="S34" s="384"/>
      <c r="T34" s="384"/>
    </row>
    <row r="35" spans="1:20" ht="15" customHeight="1">
      <c r="A35" s="453"/>
      <c r="B35" s="381" t="str">
        <f>C35</f>
        <v>其他</v>
      </c>
      <c r="C35" s="374" t="s">
        <v>387</v>
      </c>
      <c r="D35" s="389"/>
      <c r="E35" s="389"/>
      <c r="F35" s="390">
        <v>0</v>
      </c>
      <c r="G35" s="390">
        <v>0</v>
      </c>
      <c r="H35" s="390">
        <v>0</v>
      </c>
      <c r="I35" s="390">
        <v>0</v>
      </c>
      <c r="J35" s="390">
        <v>0</v>
      </c>
      <c r="K35" s="390">
        <v>0</v>
      </c>
      <c r="L35" s="390">
        <v>0</v>
      </c>
      <c r="M35" s="390">
        <v>0</v>
      </c>
      <c r="N35" s="390">
        <v>0</v>
      </c>
      <c r="O35" s="390">
        <v>0</v>
      </c>
      <c r="P35" s="390">
        <v>0</v>
      </c>
      <c r="Q35" s="389"/>
      <c r="R35" s="389"/>
      <c r="S35" s="389"/>
      <c r="T35" s="390"/>
    </row>
    <row r="36" spans="1:20" ht="15" customHeight="1">
      <c r="A36" s="486" t="s">
        <v>428</v>
      </c>
      <c r="B36" s="487"/>
      <c r="C36" s="487"/>
      <c r="D36" s="487"/>
      <c r="E36" s="487"/>
      <c r="F36" s="487"/>
      <c r="G36" s="487"/>
      <c r="H36" s="487"/>
      <c r="I36" s="487"/>
      <c r="J36" s="487"/>
      <c r="K36" s="487"/>
      <c r="L36" s="487"/>
      <c r="M36" s="487"/>
      <c r="N36" s="487"/>
      <c r="O36" s="487"/>
      <c r="P36" s="487"/>
      <c r="Q36" s="487"/>
      <c r="R36" s="487"/>
      <c r="S36" s="487"/>
      <c r="T36" s="487"/>
    </row>
    <row r="37" spans="1:20" ht="18.75" customHeight="1">
      <c r="A37" s="488" t="s">
        <v>429</v>
      </c>
      <c r="B37" s="489"/>
      <c r="C37" s="489"/>
      <c r="D37" s="489"/>
      <c r="E37" s="489"/>
      <c r="F37" s="489"/>
      <c r="G37" s="489"/>
      <c r="H37" s="489"/>
      <c r="I37" s="489"/>
      <c r="J37" s="489"/>
      <c r="K37" s="489"/>
      <c r="L37" s="489"/>
      <c r="M37" s="489"/>
      <c r="N37" s="489"/>
      <c r="O37" s="489"/>
      <c r="P37" s="489"/>
      <c r="Q37" s="489"/>
      <c r="R37" s="489"/>
      <c r="S37" s="489"/>
      <c r="T37" s="391" t="s">
        <v>400</v>
      </c>
    </row>
    <row r="38" spans="6:16" ht="15.75">
      <c r="F38" s="394"/>
      <c r="G38" s="394"/>
      <c r="H38" s="394"/>
      <c r="I38" s="394"/>
      <c r="J38" s="394"/>
      <c r="K38" s="394"/>
      <c r="L38" s="394"/>
      <c r="M38" s="394"/>
      <c r="N38" s="394"/>
      <c r="O38" s="394"/>
      <c r="P38" s="394"/>
    </row>
    <row r="39" spans="4:18" ht="16.5">
      <c r="D39" s="396"/>
      <c r="E39" s="396"/>
      <c r="F39" s="397"/>
      <c r="G39" s="397"/>
      <c r="H39" s="397"/>
      <c r="I39" s="397"/>
      <c r="J39" s="397"/>
      <c r="K39" s="397"/>
      <c r="L39" s="397"/>
      <c r="M39" s="397"/>
      <c r="N39" s="397"/>
      <c r="O39" s="397"/>
      <c r="P39" s="397"/>
      <c r="Q39" s="396"/>
      <c r="R39" s="396"/>
    </row>
    <row r="40" spans="4:18" ht="16.5">
      <c r="D40" s="396"/>
      <c r="E40" s="398"/>
      <c r="F40" s="399"/>
      <c r="G40" s="399"/>
      <c r="H40" s="399"/>
      <c r="I40" s="399"/>
      <c r="J40" s="399"/>
      <c r="K40" s="399"/>
      <c r="L40" s="399"/>
      <c r="M40" s="399"/>
      <c r="N40" s="399"/>
      <c r="O40" s="399"/>
      <c r="P40" s="399"/>
      <c r="Q40" s="398"/>
      <c r="R40" s="398"/>
    </row>
    <row r="41" spans="4:18" ht="16.5">
      <c r="D41" s="396"/>
      <c r="E41" s="398"/>
      <c r="F41" s="398"/>
      <c r="G41" s="398"/>
      <c r="H41" s="398"/>
      <c r="I41" s="398"/>
      <c r="J41" s="398"/>
      <c r="K41" s="398"/>
      <c r="L41" s="398"/>
      <c r="M41" s="398"/>
      <c r="N41" s="398"/>
      <c r="O41" s="398"/>
      <c r="P41" s="398"/>
      <c r="Q41" s="398"/>
      <c r="R41" s="398"/>
    </row>
    <row r="42" spans="4:18" ht="16.5">
      <c r="D42" s="396"/>
      <c r="E42" s="398"/>
      <c r="F42" s="398"/>
      <c r="G42" s="398"/>
      <c r="H42" s="398"/>
      <c r="I42" s="398"/>
      <c r="J42" s="398"/>
      <c r="K42" s="398"/>
      <c r="L42" s="398"/>
      <c r="M42" s="398"/>
      <c r="N42" s="398"/>
      <c r="O42" s="398"/>
      <c r="P42" s="398"/>
      <c r="Q42" s="398"/>
      <c r="R42" s="398"/>
    </row>
    <row r="43" spans="4:18" ht="16.5">
      <c r="D43" s="396"/>
      <c r="E43" s="398"/>
      <c r="F43" s="398"/>
      <c r="G43" s="398"/>
      <c r="H43" s="398"/>
      <c r="I43" s="398"/>
      <c r="J43" s="398"/>
      <c r="K43" s="398"/>
      <c r="L43" s="398"/>
      <c r="M43" s="398"/>
      <c r="N43" s="398"/>
      <c r="O43" s="398"/>
      <c r="P43" s="398"/>
      <c r="Q43" s="398"/>
      <c r="R43" s="398"/>
    </row>
    <row r="44" spans="4:18" ht="16.5">
      <c r="D44" s="396"/>
      <c r="E44" s="398"/>
      <c r="F44" s="398"/>
      <c r="G44" s="398"/>
      <c r="H44" s="398"/>
      <c r="I44" s="398"/>
      <c r="J44" s="398"/>
      <c r="K44" s="398"/>
      <c r="L44" s="398"/>
      <c r="M44" s="398"/>
      <c r="N44" s="398"/>
      <c r="O44" s="398"/>
      <c r="P44" s="398"/>
      <c r="Q44" s="398"/>
      <c r="R44" s="398"/>
    </row>
    <row r="45" spans="4:18" ht="16.5">
      <c r="D45" s="396"/>
      <c r="E45" s="398"/>
      <c r="F45" s="398"/>
      <c r="G45" s="398"/>
      <c r="H45" s="398"/>
      <c r="I45" s="398"/>
      <c r="J45" s="398"/>
      <c r="K45" s="398"/>
      <c r="L45" s="398"/>
      <c r="M45" s="398"/>
      <c r="N45" s="398"/>
      <c r="O45" s="398"/>
      <c r="P45" s="398"/>
      <c r="Q45" s="398"/>
      <c r="R45" s="398"/>
    </row>
    <row r="46" spans="4:18" ht="16.5">
      <c r="D46" s="396"/>
      <c r="E46" s="398"/>
      <c r="F46" s="398"/>
      <c r="G46" s="398"/>
      <c r="H46" s="398"/>
      <c r="I46" s="398"/>
      <c r="J46" s="398"/>
      <c r="K46" s="398"/>
      <c r="L46" s="398"/>
      <c r="M46" s="398"/>
      <c r="N46" s="398"/>
      <c r="O46" s="398"/>
      <c r="P46" s="398"/>
      <c r="Q46" s="398"/>
      <c r="R46" s="398"/>
    </row>
  </sheetData>
  <sheetProtection/>
  <mergeCells count="21">
    <mergeCell ref="N6:N7"/>
    <mergeCell ref="A17:A23"/>
    <mergeCell ref="A8:A16"/>
    <mergeCell ref="A1:T1"/>
    <mergeCell ref="A2:T2"/>
    <mergeCell ref="A3:T3"/>
    <mergeCell ref="A4:B7"/>
    <mergeCell ref="D4:D7"/>
    <mergeCell ref="E5:E7"/>
    <mergeCell ref="P5:P7"/>
    <mergeCell ref="Q5:Q7"/>
    <mergeCell ref="A24:A35"/>
    <mergeCell ref="R5:R7"/>
    <mergeCell ref="A36:T36"/>
    <mergeCell ref="A37:S37"/>
    <mergeCell ref="T5:T7"/>
    <mergeCell ref="F6:F7"/>
    <mergeCell ref="G6:G7"/>
    <mergeCell ref="H6:H7"/>
    <mergeCell ref="S5:S7"/>
    <mergeCell ref="O6:O7"/>
  </mergeCells>
  <printOptions horizontalCentered="1"/>
  <pageMargins left="0.7480314960629921" right="0.7480314960629921" top="0.2362204724409449" bottom="0.11811023622047245" header="0.4724409448818898" footer="0.2362204724409449"/>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tabColor rgb="FFFF0000"/>
  </sheetPr>
  <dimension ref="A1:CH281"/>
  <sheetViews>
    <sheetView view="pageBreakPreview" zoomScaleSheetLayoutView="100" zoomScalePageLayoutView="0" workbookViewId="0" topLeftCell="A1">
      <pane xSplit="1" ySplit="14" topLeftCell="B15" activePane="bottomRight" state="frozen"/>
      <selection pane="topLeft" activeCell="B26" sqref="B26:B27"/>
      <selection pane="topRight" activeCell="B26" sqref="B26:B27"/>
      <selection pane="bottomLeft" activeCell="B26" sqref="B26:B27"/>
      <selection pane="bottomRight" activeCell="A45" sqref="A45"/>
    </sheetView>
  </sheetViews>
  <sheetFormatPr defaultColWidth="9.00390625" defaultRowHeight="16.5"/>
  <cols>
    <col min="1" max="1" width="45.50390625" style="37" customWidth="1"/>
    <col min="2" max="2" width="5.875" style="5" customWidth="1"/>
    <col min="3" max="17" width="5.875" style="45" customWidth="1"/>
    <col min="18" max="22" width="9.00390625" style="45" customWidth="1"/>
    <col min="23" max="16384" width="9.00390625" style="5" customWidth="1"/>
  </cols>
  <sheetData>
    <row r="1" spans="1:86" ht="24.75" customHeight="1">
      <c r="A1" s="1" t="s">
        <v>363</v>
      </c>
      <c r="B1" s="38"/>
      <c r="C1" s="38"/>
      <c r="D1" s="38"/>
      <c r="E1" s="38"/>
      <c r="F1" s="38"/>
      <c r="G1" s="38"/>
      <c r="H1" s="38"/>
      <c r="I1" s="1"/>
      <c r="J1" s="38"/>
      <c r="K1" s="38"/>
      <c r="L1" s="38"/>
      <c r="M1" s="39"/>
      <c r="N1" s="40"/>
      <c r="O1" s="38"/>
      <c r="P1" s="38"/>
      <c r="Q1" s="38"/>
      <c r="R1" s="38"/>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row>
    <row r="2" spans="1:86" ht="4.5" customHeight="1">
      <c r="A2" s="38"/>
      <c r="B2" s="38"/>
      <c r="C2" s="38"/>
      <c r="D2" s="38"/>
      <c r="E2" s="38"/>
      <c r="F2" s="38"/>
      <c r="G2" s="38"/>
      <c r="H2" s="38"/>
      <c r="I2" s="38"/>
      <c r="J2" s="38"/>
      <c r="K2" s="42"/>
      <c r="L2" s="38"/>
      <c r="M2" s="39"/>
      <c r="N2" s="38"/>
      <c r="O2" s="38"/>
      <c r="P2" s="38"/>
      <c r="Q2" s="38"/>
      <c r="R2" s="38"/>
      <c r="S2" s="43"/>
      <c r="T2" s="43"/>
      <c r="U2" s="43"/>
      <c r="V2" s="43"/>
      <c r="W2" s="43"/>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row>
    <row r="3" spans="2:86" ht="7.5" customHeight="1" thickBot="1">
      <c r="B3" s="7"/>
      <c r="C3" s="7"/>
      <c r="D3" s="7"/>
      <c r="E3" s="7"/>
      <c r="F3" s="7"/>
      <c r="G3" s="44"/>
      <c r="J3" s="7"/>
      <c r="K3" s="6"/>
      <c r="L3" s="6"/>
      <c r="M3" s="46"/>
      <c r="N3" s="7"/>
      <c r="O3" s="7"/>
      <c r="P3" s="7"/>
      <c r="Q3" s="8"/>
      <c r="R3" s="7"/>
      <c r="S3" s="43"/>
      <c r="T3" s="43"/>
      <c r="U3" s="43"/>
      <c r="V3" s="43"/>
      <c r="W3" s="43"/>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row>
    <row r="4" spans="1:85" s="52" customFormat="1" ht="11.25" customHeight="1">
      <c r="A4" s="467" t="s">
        <v>135</v>
      </c>
      <c r="B4" s="47" t="s">
        <v>28</v>
      </c>
      <c r="C4" s="48"/>
      <c r="D4" s="49" t="s">
        <v>29</v>
      </c>
      <c r="E4" s="49"/>
      <c r="F4" s="49"/>
      <c r="G4" s="49" t="s">
        <v>220</v>
      </c>
      <c r="H4" s="49"/>
      <c r="I4" s="49"/>
      <c r="J4" s="49" t="s">
        <v>221</v>
      </c>
      <c r="K4" s="49"/>
      <c r="L4" s="49"/>
      <c r="M4" s="49" t="s">
        <v>222</v>
      </c>
      <c r="N4" s="49"/>
      <c r="O4" s="49" t="s">
        <v>223</v>
      </c>
      <c r="P4" s="49"/>
      <c r="Q4" s="49"/>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1"/>
      <c r="BR4" s="51"/>
      <c r="BS4" s="51"/>
      <c r="BT4" s="51"/>
      <c r="BU4" s="51"/>
      <c r="BV4" s="51"/>
      <c r="BW4" s="51"/>
      <c r="BX4" s="51"/>
      <c r="BY4" s="51"/>
      <c r="BZ4" s="51"/>
      <c r="CA4" s="51"/>
      <c r="CB4" s="51"/>
      <c r="CC4" s="51"/>
      <c r="CD4" s="51"/>
      <c r="CE4" s="51"/>
      <c r="CF4" s="51"/>
      <c r="CG4" s="51"/>
    </row>
    <row r="5" spans="1:85" s="52" customFormat="1" ht="12.75" customHeight="1">
      <c r="A5" s="506"/>
      <c r="B5" s="53" t="s">
        <v>30</v>
      </c>
      <c r="C5" s="54" t="s">
        <v>0</v>
      </c>
      <c r="D5" s="55" t="s">
        <v>30</v>
      </c>
      <c r="E5" s="56" t="s">
        <v>179</v>
      </c>
      <c r="F5" s="56"/>
      <c r="G5" s="56"/>
      <c r="H5" s="56"/>
      <c r="I5" s="56"/>
      <c r="J5" s="56"/>
      <c r="K5" s="56" t="s">
        <v>56</v>
      </c>
      <c r="L5" s="56"/>
      <c r="M5" s="54" t="s">
        <v>32</v>
      </c>
      <c r="N5" s="54" t="s">
        <v>33</v>
      </c>
      <c r="O5" s="54" t="s">
        <v>32</v>
      </c>
      <c r="P5" s="58" t="s">
        <v>2</v>
      </c>
      <c r="Q5" s="53" t="s">
        <v>3</v>
      </c>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1"/>
      <c r="BR5" s="51"/>
      <c r="BS5" s="51"/>
      <c r="BT5" s="51"/>
      <c r="BU5" s="51"/>
      <c r="BV5" s="51"/>
      <c r="BW5" s="51"/>
      <c r="BX5" s="51"/>
      <c r="BY5" s="51"/>
      <c r="BZ5" s="51"/>
      <c r="CA5" s="51"/>
      <c r="CB5" s="51"/>
      <c r="CC5" s="51"/>
      <c r="CD5" s="51"/>
      <c r="CE5" s="51"/>
      <c r="CF5" s="51"/>
      <c r="CG5" s="51"/>
    </row>
    <row r="6" spans="1:85" s="52" customFormat="1" ht="12.75" customHeight="1">
      <c r="A6" s="506"/>
      <c r="B6" s="53"/>
      <c r="C6" s="54"/>
      <c r="D6" s="59"/>
      <c r="E6" s="59" t="s">
        <v>38</v>
      </c>
      <c r="F6" s="59" t="s">
        <v>33</v>
      </c>
      <c r="G6" s="232" t="s">
        <v>196</v>
      </c>
      <c r="H6" s="233" t="s">
        <v>197</v>
      </c>
      <c r="I6" s="233" t="s">
        <v>198</v>
      </c>
      <c r="J6" s="234" t="s">
        <v>145</v>
      </c>
      <c r="K6" s="59" t="s">
        <v>36</v>
      </c>
      <c r="L6" s="59" t="s">
        <v>37</v>
      </c>
      <c r="M6" s="54"/>
      <c r="N6" s="54"/>
      <c r="O6" s="54"/>
      <c r="P6" s="58"/>
      <c r="Q6" s="53"/>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1"/>
      <c r="BR6" s="51"/>
      <c r="BS6" s="51"/>
      <c r="BT6" s="51"/>
      <c r="BU6" s="51"/>
      <c r="BV6" s="51"/>
      <c r="BW6" s="51"/>
      <c r="BX6" s="51"/>
      <c r="BY6" s="51"/>
      <c r="BZ6" s="51"/>
      <c r="CA6" s="51"/>
      <c r="CB6" s="51"/>
      <c r="CC6" s="51"/>
      <c r="CD6" s="51"/>
      <c r="CE6" s="51"/>
      <c r="CF6" s="51"/>
      <c r="CG6" s="51"/>
    </row>
    <row r="7" spans="1:85" s="52" customFormat="1" ht="11.25" customHeight="1">
      <c r="A7" s="506"/>
      <c r="B7" s="53"/>
      <c r="C7" s="54"/>
      <c r="D7" s="58"/>
      <c r="E7" s="231"/>
      <c r="F7" s="231"/>
      <c r="G7" s="53" t="s">
        <v>173</v>
      </c>
      <c r="H7" s="54" t="s">
        <v>35</v>
      </c>
      <c r="I7" s="58" t="s">
        <v>34</v>
      </c>
      <c r="J7" s="58" t="s">
        <v>57</v>
      </c>
      <c r="K7" s="58"/>
      <c r="L7" s="54"/>
      <c r="M7" s="54"/>
      <c r="N7" s="54"/>
      <c r="O7" s="54"/>
      <c r="P7" s="58"/>
      <c r="Q7" s="53"/>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1"/>
      <c r="BR7" s="51"/>
      <c r="BS7" s="51"/>
      <c r="BT7" s="51"/>
      <c r="BU7" s="51"/>
      <c r="BV7" s="51"/>
      <c r="BW7" s="51"/>
      <c r="BX7" s="51"/>
      <c r="BY7" s="51"/>
      <c r="BZ7" s="51"/>
      <c r="CA7" s="51"/>
      <c r="CB7" s="51"/>
      <c r="CC7" s="51"/>
      <c r="CD7" s="51"/>
      <c r="CE7" s="51"/>
      <c r="CF7" s="51"/>
      <c r="CG7" s="51"/>
    </row>
    <row r="8" spans="1:85" s="52" customFormat="1" ht="12" customHeight="1">
      <c r="A8" s="506"/>
      <c r="B8" s="53"/>
      <c r="C8" s="54"/>
      <c r="D8" s="58"/>
      <c r="E8" s="58"/>
      <c r="F8" s="58"/>
      <c r="G8" s="53"/>
      <c r="H8" s="54" t="s">
        <v>40</v>
      </c>
      <c r="I8" s="58" t="s">
        <v>41</v>
      </c>
      <c r="J8" s="58"/>
      <c r="K8" s="54"/>
      <c r="L8" s="54"/>
      <c r="M8" s="54"/>
      <c r="N8" s="54"/>
      <c r="O8" s="54"/>
      <c r="P8" s="58"/>
      <c r="Q8" s="53"/>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1"/>
      <c r="BR8" s="51"/>
      <c r="BS8" s="51"/>
      <c r="BT8" s="51"/>
      <c r="BU8" s="51"/>
      <c r="BV8" s="51"/>
      <c r="BW8" s="51"/>
      <c r="BX8" s="51"/>
      <c r="BY8" s="51"/>
      <c r="BZ8" s="51"/>
      <c r="CA8" s="51"/>
      <c r="CB8" s="51"/>
      <c r="CC8" s="51"/>
      <c r="CD8" s="51"/>
      <c r="CE8" s="51"/>
      <c r="CF8" s="51"/>
      <c r="CG8" s="51"/>
    </row>
    <row r="9" spans="1:85" s="52" customFormat="1" ht="11.25" customHeight="1">
      <c r="A9" s="506"/>
      <c r="B9" s="53"/>
      <c r="C9" s="54"/>
      <c r="D9" s="58"/>
      <c r="E9" s="58"/>
      <c r="F9" s="58" t="s">
        <v>43</v>
      </c>
      <c r="G9" s="53" t="s">
        <v>174</v>
      </c>
      <c r="H9" s="54" t="s">
        <v>39</v>
      </c>
      <c r="I9" s="58" t="s">
        <v>42</v>
      </c>
      <c r="J9" s="58" t="s">
        <v>199</v>
      </c>
      <c r="K9" s="54"/>
      <c r="L9" s="54"/>
      <c r="M9" s="54"/>
      <c r="N9" s="54"/>
      <c r="O9" s="54"/>
      <c r="P9" s="58" t="s">
        <v>44</v>
      </c>
      <c r="Q9" s="53"/>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1"/>
      <c r="BR9" s="51"/>
      <c r="BS9" s="51"/>
      <c r="BT9" s="51"/>
      <c r="BU9" s="51"/>
      <c r="BV9" s="51"/>
      <c r="BW9" s="51"/>
      <c r="BX9" s="51"/>
      <c r="BY9" s="51"/>
      <c r="BZ9" s="51"/>
      <c r="CA9" s="51"/>
      <c r="CB9" s="51"/>
      <c r="CC9" s="51"/>
      <c r="CD9" s="51"/>
      <c r="CE9" s="51"/>
      <c r="CF9" s="51"/>
      <c r="CG9" s="51"/>
    </row>
    <row r="10" spans="1:85" s="52" customFormat="1" ht="11.25" customHeight="1">
      <c r="A10" s="506"/>
      <c r="B10" s="53"/>
      <c r="C10" s="54"/>
      <c r="D10" s="58" t="s">
        <v>8</v>
      </c>
      <c r="E10" s="58"/>
      <c r="F10" s="58"/>
      <c r="G10" s="53"/>
      <c r="H10" s="54"/>
      <c r="I10" s="58" t="s">
        <v>45</v>
      </c>
      <c r="J10" s="58"/>
      <c r="K10" s="54"/>
      <c r="L10" s="54"/>
      <c r="M10" s="54"/>
      <c r="N10" s="54"/>
      <c r="O10" s="54"/>
      <c r="P10" s="58"/>
      <c r="Q10" s="53"/>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1"/>
      <c r="BR10" s="51"/>
      <c r="BS10" s="51"/>
      <c r="BT10" s="51"/>
      <c r="BU10" s="51"/>
      <c r="BV10" s="51"/>
      <c r="BW10" s="51"/>
      <c r="BX10" s="51"/>
      <c r="BY10" s="51"/>
      <c r="BZ10" s="51"/>
      <c r="CA10" s="51"/>
      <c r="CB10" s="51"/>
      <c r="CC10" s="51"/>
      <c r="CD10" s="51"/>
      <c r="CE10" s="51"/>
      <c r="CF10" s="51"/>
      <c r="CG10" s="51"/>
    </row>
    <row r="11" spans="1:85" s="52" customFormat="1" ht="11.25" customHeight="1">
      <c r="A11" s="506"/>
      <c r="B11" s="53"/>
      <c r="C11" s="54"/>
      <c r="D11" s="58"/>
      <c r="E11" s="58"/>
      <c r="F11" s="58"/>
      <c r="G11" s="53" t="s">
        <v>175</v>
      </c>
      <c r="H11" s="54" t="s">
        <v>58</v>
      </c>
      <c r="I11" s="54" t="s">
        <v>57</v>
      </c>
      <c r="J11" s="58" t="s">
        <v>175</v>
      </c>
      <c r="K11" s="54"/>
      <c r="L11" s="54"/>
      <c r="M11" s="54"/>
      <c r="N11" s="54"/>
      <c r="O11" s="54"/>
      <c r="P11" s="58"/>
      <c r="Q11" s="53"/>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1"/>
      <c r="BR11" s="51"/>
      <c r="BS11" s="51"/>
      <c r="BT11" s="51"/>
      <c r="BU11" s="51"/>
      <c r="BV11" s="51"/>
      <c r="BW11" s="51"/>
      <c r="BX11" s="51"/>
      <c r="BY11" s="51"/>
      <c r="BZ11" s="51"/>
      <c r="CA11" s="51"/>
      <c r="CB11" s="51"/>
      <c r="CC11" s="51"/>
      <c r="CD11" s="51"/>
      <c r="CE11" s="51"/>
      <c r="CF11" s="51"/>
      <c r="CG11" s="51"/>
    </row>
    <row r="12" spans="1:85" s="52" customFormat="1" ht="11.25" customHeight="1">
      <c r="A12" s="506"/>
      <c r="B12" s="53"/>
      <c r="C12" s="54"/>
      <c r="D12" s="58"/>
      <c r="E12" s="58"/>
      <c r="F12" s="58" t="s">
        <v>47</v>
      </c>
      <c r="G12" s="53"/>
      <c r="H12" s="54" t="s">
        <v>41</v>
      </c>
      <c r="I12" s="54" t="s">
        <v>41</v>
      </c>
      <c r="J12" s="58"/>
      <c r="K12" s="54"/>
      <c r="L12" s="54"/>
      <c r="M12" s="54"/>
      <c r="N12" s="54"/>
      <c r="O12" s="54"/>
      <c r="P12" s="58"/>
      <c r="Q12" s="53"/>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1"/>
      <c r="BR12" s="51"/>
      <c r="BS12" s="51"/>
      <c r="BT12" s="51"/>
      <c r="BU12" s="51"/>
      <c r="BV12" s="51"/>
      <c r="BW12" s="51"/>
      <c r="BX12" s="51"/>
      <c r="BY12" s="51"/>
      <c r="BZ12" s="51"/>
      <c r="CA12" s="51"/>
      <c r="CB12" s="51"/>
      <c r="CC12" s="51"/>
      <c r="CD12" s="51"/>
      <c r="CE12" s="51"/>
      <c r="CF12" s="51"/>
      <c r="CG12" s="51"/>
    </row>
    <row r="13" spans="1:85" s="52" customFormat="1" ht="9.75" customHeight="1">
      <c r="A13" s="506"/>
      <c r="B13" s="53"/>
      <c r="C13" s="54"/>
      <c r="D13" s="58"/>
      <c r="E13" s="58"/>
      <c r="F13" s="58"/>
      <c r="G13" s="53" t="s">
        <v>176</v>
      </c>
      <c r="H13" s="54" t="s">
        <v>59</v>
      </c>
      <c r="I13" s="54" t="s">
        <v>59</v>
      </c>
      <c r="J13" s="58" t="s">
        <v>200</v>
      </c>
      <c r="K13" s="54"/>
      <c r="L13" s="54"/>
      <c r="M13" s="54"/>
      <c r="N13" s="54"/>
      <c r="O13" s="54"/>
      <c r="P13" s="58"/>
      <c r="Q13" s="53"/>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1"/>
      <c r="BR13" s="51"/>
      <c r="BS13" s="51"/>
      <c r="BT13" s="51"/>
      <c r="BU13" s="51"/>
      <c r="BV13" s="51"/>
      <c r="BW13" s="51"/>
      <c r="BX13" s="51"/>
      <c r="BY13" s="51"/>
      <c r="BZ13" s="51"/>
      <c r="CA13" s="51"/>
      <c r="CB13" s="51"/>
      <c r="CC13" s="51"/>
      <c r="CD13" s="51"/>
      <c r="CE13" s="51"/>
      <c r="CF13" s="51"/>
      <c r="CG13" s="51"/>
    </row>
    <row r="14" spans="1:85" s="52" customFormat="1" ht="11.25" customHeight="1" thickBot="1">
      <c r="A14" s="507"/>
      <c r="B14" s="53" t="s">
        <v>31</v>
      </c>
      <c r="C14" s="54" t="s">
        <v>8</v>
      </c>
      <c r="D14" s="126"/>
      <c r="E14" s="126" t="s">
        <v>52</v>
      </c>
      <c r="F14" s="126" t="s">
        <v>52</v>
      </c>
      <c r="G14" s="230"/>
      <c r="H14" s="54" t="s">
        <v>48</v>
      </c>
      <c r="I14" s="54" t="s">
        <v>48</v>
      </c>
      <c r="J14" s="58"/>
      <c r="K14" s="54" t="s">
        <v>50</v>
      </c>
      <c r="L14" s="54" t="s">
        <v>51</v>
      </c>
      <c r="M14" s="54" t="s">
        <v>52</v>
      </c>
      <c r="N14" s="54" t="s">
        <v>53</v>
      </c>
      <c r="O14" s="54" t="s">
        <v>54</v>
      </c>
      <c r="P14" s="58" t="s">
        <v>55</v>
      </c>
      <c r="Q14" s="53" t="s">
        <v>10</v>
      </c>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1"/>
      <c r="BR14" s="51"/>
      <c r="BS14" s="51"/>
      <c r="BT14" s="51"/>
      <c r="BU14" s="51"/>
      <c r="BV14" s="51"/>
      <c r="BW14" s="51"/>
      <c r="BX14" s="51"/>
      <c r="BY14" s="51"/>
      <c r="BZ14" s="51"/>
      <c r="CA14" s="51"/>
      <c r="CB14" s="51"/>
      <c r="CC14" s="51"/>
      <c r="CD14" s="51"/>
      <c r="CE14" s="51"/>
      <c r="CF14" s="51"/>
      <c r="CG14" s="51"/>
    </row>
    <row r="15" spans="1:85" s="62" customFormat="1" ht="15" customHeight="1">
      <c r="A15" s="60" t="s">
        <v>13</v>
      </c>
      <c r="B15" s="61">
        <f>SUM(B16:B20)</f>
        <v>26</v>
      </c>
      <c r="C15" s="61">
        <f>SUM(C16:C20)</f>
        <v>28</v>
      </c>
      <c r="D15" s="61">
        <f>SUM(D16:D20)</f>
        <v>28</v>
      </c>
      <c r="E15" s="61">
        <f>SUM(E16:E20)</f>
        <v>0</v>
      </c>
      <c r="F15" s="61">
        <f>SUM(F16:F20)</f>
        <v>0</v>
      </c>
      <c r="G15" s="61">
        <f aca="true" t="shared" si="0" ref="G15:L15">SUM(G16:G20)</f>
        <v>14</v>
      </c>
      <c r="H15" s="61">
        <f t="shared" si="0"/>
        <v>2</v>
      </c>
      <c r="I15" s="61">
        <f t="shared" si="0"/>
        <v>0</v>
      </c>
      <c r="J15" s="61">
        <f t="shared" si="0"/>
        <v>0</v>
      </c>
      <c r="K15" s="61">
        <f t="shared" si="0"/>
        <v>8</v>
      </c>
      <c r="L15" s="61">
        <f t="shared" si="0"/>
        <v>4</v>
      </c>
      <c r="M15" s="61">
        <f>SUM(M16:M20)</f>
        <v>0</v>
      </c>
      <c r="N15" s="61">
        <f>SUM(N16:N20)</f>
        <v>0</v>
      </c>
      <c r="O15" s="61">
        <f>SUM(O16:O20)</f>
        <v>0</v>
      </c>
      <c r="P15" s="61">
        <f>SUM(P16:P20)</f>
        <v>0</v>
      </c>
      <c r="Q15" s="61">
        <f>SUM(Q16:Q20)</f>
        <v>0</v>
      </c>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row>
    <row r="16" spans="1:85" s="62" customFormat="1" ht="15" customHeight="1">
      <c r="A16" s="24" t="s">
        <v>350</v>
      </c>
      <c r="B16" s="28">
        <v>0</v>
      </c>
      <c r="C16" s="256">
        <f>+D16+M16+N16+O16+P16+Q16</f>
        <v>0</v>
      </c>
      <c r="D16" s="256">
        <f>SUM(G16:L16)</f>
        <v>0</v>
      </c>
      <c r="E16" s="238">
        <v>0</v>
      </c>
      <c r="F16" s="238">
        <v>0</v>
      </c>
      <c r="G16" s="238">
        <v>0</v>
      </c>
      <c r="H16" s="238">
        <v>0</v>
      </c>
      <c r="I16" s="238">
        <v>0</v>
      </c>
      <c r="J16" s="238">
        <v>0</v>
      </c>
      <c r="K16" s="238">
        <v>0</v>
      </c>
      <c r="L16" s="238">
        <v>0</v>
      </c>
      <c r="M16" s="238">
        <v>0</v>
      </c>
      <c r="N16" s="238">
        <v>0</v>
      </c>
      <c r="O16" s="238">
        <v>0</v>
      </c>
      <c r="P16" s="238">
        <v>0</v>
      </c>
      <c r="Q16" s="238">
        <v>0</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row>
    <row r="17" spans="1:85" s="62" customFormat="1" ht="15" customHeight="1">
      <c r="A17" s="24" t="s">
        <v>351</v>
      </c>
      <c r="B17" s="28">
        <v>4</v>
      </c>
      <c r="C17" s="256">
        <f>+D17+M17+N17+O17+P17+Q17</f>
        <v>4</v>
      </c>
      <c r="D17" s="256">
        <f>SUM(G17:L17)</f>
        <v>4</v>
      </c>
      <c r="E17" s="238">
        <v>0</v>
      </c>
      <c r="F17" s="238">
        <v>0</v>
      </c>
      <c r="G17" s="238">
        <v>1</v>
      </c>
      <c r="H17" s="238">
        <v>0</v>
      </c>
      <c r="I17" s="238">
        <v>0</v>
      </c>
      <c r="J17" s="238">
        <v>0</v>
      </c>
      <c r="K17" s="28">
        <v>3</v>
      </c>
      <c r="L17" s="238">
        <v>0</v>
      </c>
      <c r="M17" s="238">
        <v>0</v>
      </c>
      <c r="N17" s="238">
        <v>0</v>
      </c>
      <c r="O17" s="238">
        <v>0</v>
      </c>
      <c r="P17" s="238">
        <v>0</v>
      </c>
      <c r="Q17" s="238">
        <v>0</v>
      </c>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row>
    <row r="18" spans="1:17" s="22" customFormat="1" ht="15" customHeight="1">
      <c r="A18" s="24" t="s">
        <v>354</v>
      </c>
      <c r="B18" s="28">
        <v>18</v>
      </c>
      <c r="C18" s="256">
        <f>+D18+M18+N18+O18+P18+Q18</f>
        <v>19</v>
      </c>
      <c r="D18" s="256">
        <f>SUM(G18:L18)</f>
        <v>19</v>
      </c>
      <c r="E18" s="238">
        <v>0</v>
      </c>
      <c r="F18" s="238">
        <v>0</v>
      </c>
      <c r="G18" s="238">
        <v>13</v>
      </c>
      <c r="H18" s="238">
        <v>0</v>
      </c>
      <c r="I18" s="238">
        <v>0</v>
      </c>
      <c r="J18" s="238">
        <v>0</v>
      </c>
      <c r="K18" s="63">
        <v>5</v>
      </c>
      <c r="L18" s="238">
        <v>1</v>
      </c>
      <c r="M18" s="238">
        <v>0</v>
      </c>
      <c r="N18" s="238">
        <v>0</v>
      </c>
      <c r="O18" s="238">
        <v>0</v>
      </c>
      <c r="P18" s="238">
        <v>0</v>
      </c>
      <c r="Q18" s="238">
        <v>0</v>
      </c>
    </row>
    <row r="19" spans="1:17" s="22" customFormat="1" ht="15" customHeight="1">
      <c r="A19" s="326" t="s">
        <v>355</v>
      </c>
      <c r="B19" s="28">
        <v>3</v>
      </c>
      <c r="C19" s="256">
        <f>+D19+M19+N19+O19+P19+Q19</f>
        <v>3</v>
      </c>
      <c r="D19" s="256">
        <f>SUM(G19:L19)</f>
        <v>3</v>
      </c>
      <c r="E19" s="238">
        <v>0</v>
      </c>
      <c r="F19" s="238">
        <v>0</v>
      </c>
      <c r="G19" s="238">
        <v>0</v>
      </c>
      <c r="H19" s="238">
        <v>0</v>
      </c>
      <c r="I19" s="238">
        <v>0</v>
      </c>
      <c r="J19" s="238">
        <v>0</v>
      </c>
      <c r="K19" s="63">
        <v>0</v>
      </c>
      <c r="L19" s="238">
        <v>3</v>
      </c>
      <c r="M19" s="238">
        <v>0</v>
      </c>
      <c r="N19" s="238">
        <v>0</v>
      </c>
      <c r="O19" s="238">
        <v>0</v>
      </c>
      <c r="P19" s="238">
        <v>0</v>
      </c>
      <c r="Q19" s="238">
        <v>0</v>
      </c>
    </row>
    <row r="20" spans="1:85" s="11" customFormat="1" ht="15" customHeight="1">
      <c r="A20" s="26" t="s">
        <v>230</v>
      </c>
      <c r="B20" s="28">
        <v>1</v>
      </c>
      <c r="C20" s="256">
        <f>+D20+M20+N20+O20+P20+Q20</f>
        <v>2</v>
      </c>
      <c r="D20" s="256">
        <f>SUM(G20:L20)</f>
        <v>2</v>
      </c>
      <c r="E20" s="238">
        <v>0</v>
      </c>
      <c r="F20" s="238">
        <v>0</v>
      </c>
      <c r="G20" s="238">
        <v>0</v>
      </c>
      <c r="H20" s="238">
        <v>2</v>
      </c>
      <c r="I20" s="238">
        <v>0</v>
      </c>
      <c r="J20" s="238">
        <v>0</v>
      </c>
      <c r="K20" s="238">
        <v>0</v>
      </c>
      <c r="L20" s="238">
        <v>0</v>
      </c>
      <c r="M20" s="238">
        <v>0</v>
      </c>
      <c r="N20" s="238">
        <v>0</v>
      </c>
      <c r="O20" s="238">
        <v>0</v>
      </c>
      <c r="P20" s="238">
        <v>0</v>
      </c>
      <c r="Q20" s="238">
        <v>0</v>
      </c>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row>
    <row r="21" spans="1:85" s="11" customFormat="1" ht="15" customHeight="1">
      <c r="A21" s="20" t="s">
        <v>14</v>
      </c>
      <c r="B21" s="64">
        <f aca="true" t="shared" si="1" ref="B21:Q21">SUM(B22:B26)</f>
        <v>52</v>
      </c>
      <c r="C21" s="64">
        <f t="shared" si="1"/>
        <v>62</v>
      </c>
      <c r="D21" s="64">
        <f t="shared" si="1"/>
        <v>57</v>
      </c>
      <c r="E21" s="64">
        <f t="shared" si="1"/>
        <v>0</v>
      </c>
      <c r="F21" s="64">
        <f t="shared" si="1"/>
        <v>0</v>
      </c>
      <c r="G21" s="64">
        <f t="shared" si="1"/>
        <v>18</v>
      </c>
      <c r="H21" s="64">
        <f t="shared" si="1"/>
        <v>10</v>
      </c>
      <c r="I21" s="64">
        <f t="shared" si="1"/>
        <v>1</v>
      </c>
      <c r="J21" s="64">
        <f t="shared" si="1"/>
        <v>0</v>
      </c>
      <c r="K21" s="64">
        <f t="shared" si="1"/>
        <v>6</v>
      </c>
      <c r="L21" s="64">
        <f t="shared" si="1"/>
        <v>22</v>
      </c>
      <c r="M21" s="64">
        <f t="shared" si="1"/>
        <v>0</v>
      </c>
      <c r="N21" s="64">
        <f t="shared" si="1"/>
        <v>4</v>
      </c>
      <c r="O21" s="64">
        <f t="shared" si="1"/>
        <v>0</v>
      </c>
      <c r="P21" s="64">
        <f t="shared" si="1"/>
        <v>0</v>
      </c>
      <c r="Q21" s="64">
        <f t="shared" si="1"/>
        <v>1</v>
      </c>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row>
    <row r="22" spans="1:85" s="11" customFormat="1" ht="15" customHeight="1" hidden="1">
      <c r="A22" s="24" t="s">
        <v>282</v>
      </c>
      <c r="B22" s="174">
        <v>24</v>
      </c>
      <c r="C22" s="298">
        <f>+D22+M22+N22+O22+P22+Q22</f>
        <v>26</v>
      </c>
      <c r="D22" s="298">
        <f>SUM(G22:L22)</f>
        <v>26</v>
      </c>
      <c r="E22" s="238">
        <v>0</v>
      </c>
      <c r="F22" s="238">
        <v>0</v>
      </c>
      <c r="G22" s="238">
        <v>16</v>
      </c>
      <c r="H22" s="238">
        <v>0</v>
      </c>
      <c r="I22" s="238">
        <v>0</v>
      </c>
      <c r="J22" s="238">
        <v>0</v>
      </c>
      <c r="K22" s="238">
        <v>5</v>
      </c>
      <c r="L22" s="238">
        <v>5</v>
      </c>
      <c r="M22" s="238">
        <v>0</v>
      </c>
      <c r="N22" s="238">
        <v>0</v>
      </c>
      <c r="O22" s="238">
        <v>0</v>
      </c>
      <c r="P22" s="238">
        <v>0</v>
      </c>
      <c r="Q22" s="238">
        <v>0</v>
      </c>
      <c r="R22" s="174"/>
      <c r="S22" s="174"/>
      <c r="T22" s="174"/>
      <c r="U22" s="174"/>
      <c r="V22" s="174"/>
      <c r="W22" s="174"/>
      <c r="X22" s="174"/>
      <c r="Y22" s="174"/>
      <c r="Z22" s="174"/>
      <c r="AA22" s="174"/>
      <c r="AB22" s="174"/>
      <c r="AC22" s="174"/>
      <c r="AD22" s="174"/>
      <c r="AE22" s="174"/>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row>
    <row r="23" spans="1:85" s="62" customFormat="1" ht="15" customHeight="1">
      <c r="A23" s="27" t="s">
        <v>280</v>
      </c>
      <c r="B23" s="63">
        <v>5</v>
      </c>
      <c r="C23" s="298">
        <f>+D23+M23+N23+O23+P23+Q23</f>
        <v>6</v>
      </c>
      <c r="D23" s="298">
        <f>SUM(G23:L23)</f>
        <v>6</v>
      </c>
      <c r="E23" s="238">
        <v>0</v>
      </c>
      <c r="F23" s="238">
        <v>0</v>
      </c>
      <c r="G23" s="63">
        <v>0</v>
      </c>
      <c r="H23" s="238">
        <v>2</v>
      </c>
      <c r="I23" s="238">
        <v>0</v>
      </c>
      <c r="J23" s="238">
        <v>0</v>
      </c>
      <c r="K23" s="63">
        <v>1</v>
      </c>
      <c r="L23" s="63">
        <v>3</v>
      </c>
      <c r="M23" s="238">
        <v>0</v>
      </c>
      <c r="N23" s="238">
        <v>0</v>
      </c>
      <c r="O23" s="238">
        <v>0</v>
      </c>
      <c r="P23" s="238">
        <v>0</v>
      </c>
      <c r="Q23" s="238">
        <v>0</v>
      </c>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row>
    <row r="24" spans="1:17" s="22" customFormat="1" ht="15" customHeight="1">
      <c r="A24" s="27" t="s">
        <v>285</v>
      </c>
      <c r="B24" s="63">
        <v>12</v>
      </c>
      <c r="C24" s="298">
        <f>+D24+M24+N24+O24+P24+Q24</f>
        <v>15</v>
      </c>
      <c r="D24" s="298">
        <f>SUM(G24:L24)</f>
        <v>15</v>
      </c>
      <c r="E24" s="238">
        <v>0</v>
      </c>
      <c r="F24" s="238">
        <v>0</v>
      </c>
      <c r="G24" s="63">
        <v>2</v>
      </c>
      <c r="H24" s="238">
        <v>8</v>
      </c>
      <c r="I24" s="238">
        <v>1</v>
      </c>
      <c r="J24" s="238">
        <v>0</v>
      </c>
      <c r="K24" s="238">
        <v>0</v>
      </c>
      <c r="L24" s="238">
        <v>4</v>
      </c>
      <c r="M24" s="238">
        <v>0</v>
      </c>
      <c r="N24" s="238">
        <v>0</v>
      </c>
      <c r="O24" s="238">
        <v>0</v>
      </c>
      <c r="P24" s="238">
        <v>0</v>
      </c>
      <c r="Q24" s="238">
        <v>0</v>
      </c>
    </row>
    <row r="25" spans="1:17" s="22" customFormat="1" ht="27" customHeight="1">
      <c r="A25" s="324" t="s">
        <v>357</v>
      </c>
      <c r="B25" s="238">
        <v>9</v>
      </c>
      <c r="C25" s="298">
        <f>+D25+M25+N25+O25+P25+Q25</f>
        <v>10</v>
      </c>
      <c r="D25" s="298">
        <f>SUM(G25:L25)</f>
        <v>10</v>
      </c>
      <c r="E25" s="238">
        <v>0</v>
      </c>
      <c r="F25" s="238">
        <v>0</v>
      </c>
      <c r="G25" s="63">
        <v>0</v>
      </c>
      <c r="H25" s="238">
        <v>0</v>
      </c>
      <c r="I25" s="238">
        <v>0</v>
      </c>
      <c r="J25" s="238">
        <v>0</v>
      </c>
      <c r="K25" s="238">
        <v>0</v>
      </c>
      <c r="L25" s="238">
        <v>10</v>
      </c>
      <c r="M25" s="238">
        <v>0</v>
      </c>
      <c r="N25" s="238">
        <v>0</v>
      </c>
      <c r="O25" s="238">
        <v>0</v>
      </c>
      <c r="P25" s="238">
        <v>0</v>
      </c>
      <c r="Q25" s="238">
        <v>0</v>
      </c>
    </row>
    <row r="26" spans="1:17" s="22" customFormat="1" ht="15" customHeight="1">
      <c r="A26" s="26" t="s">
        <v>230</v>
      </c>
      <c r="B26" s="63">
        <v>2</v>
      </c>
      <c r="C26" s="298">
        <f>+D26+M26+N26+O26+P26+Q26</f>
        <v>5</v>
      </c>
      <c r="D26" s="298">
        <f>SUM(G26:L26)</f>
        <v>0</v>
      </c>
      <c r="E26" s="238">
        <v>0</v>
      </c>
      <c r="F26" s="238">
        <v>0</v>
      </c>
      <c r="G26" s="63">
        <v>0</v>
      </c>
      <c r="H26" s="238">
        <v>0</v>
      </c>
      <c r="I26" s="238">
        <v>0</v>
      </c>
      <c r="J26" s="238">
        <v>0</v>
      </c>
      <c r="K26" s="238">
        <v>0</v>
      </c>
      <c r="L26" s="238">
        <v>0</v>
      </c>
      <c r="M26" s="238">
        <v>0</v>
      </c>
      <c r="N26" s="238">
        <v>4</v>
      </c>
      <c r="O26" s="238">
        <v>0</v>
      </c>
      <c r="P26" s="238">
        <v>0</v>
      </c>
      <c r="Q26" s="238">
        <v>1</v>
      </c>
    </row>
    <row r="27" spans="1:17" s="22" customFormat="1" ht="15" customHeight="1">
      <c r="A27" s="26"/>
      <c r="B27" s="63">
        <v>2</v>
      </c>
      <c r="C27" s="298"/>
      <c r="D27" s="298"/>
      <c r="E27" s="238"/>
      <c r="F27" s="238"/>
      <c r="G27" s="63"/>
      <c r="H27" s="238"/>
      <c r="I27" s="238"/>
      <c r="J27" s="238"/>
      <c r="K27" s="238"/>
      <c r="L27" s="238"/>
      <c r="M27" s="238"/>
      <c r="N27" s="238"/>
      <c r="O27" s="238"/>
      <c r="P27" s="238"/>
      <c r="Q27" s="238"/>
    </row>
    <row r="28" spans="1:17" s="22" customFormat="1" ht="15" customHeight="1">
      <c r="A28" s="20" t="s">
        <v>60</v>
      </c>
      <c r="B28" s="64">
        <f aca="true" t="shared" si="2" ref="B28:Q28">SUM(B30:B36)</f>
        <v>386</v>
      </c>
      <c r="C28" s="64">
        <f t="shared" si="2"/>
        <v>604</v>
      </c>
      <c r="D28" s="64">
        <f t="shared" si="2"/>
        <v>506</v>
      </c>
      <c r="E28" s="64">
        <f t="shared" si="2"/>
        <v>0</v>
      </c>
      <c r="F28" s="64">
        <f t="shared" si="2"/>
        <v>0</v>
      </c>
      <c r="G28" s="64">
        <f t="shared" si="2"/>
        <v>85</v>
      </c>
      <c r="H28" s="64">
        <f t="shared" si="2"/>
        <v>365</v>
      </c>
      <c r="I28" s="64">
        <f t="shared" si="2"/>
        <v>10</v>
      </c>
      <c r="J28" s="64">
        <f t="shared" si="2"/>
        <v>2</v>
      </c>
      <c r="K28" s="64">
        <f t="shared" si="2"/>
        <v>0</v>
      </c>
      <c r="L28" s="64">
        <f t="shared" si="2"/>
        <v>44</v>
      </c>
      <c r="M28" s="64">
        <f t="shared" si="2"/>
        <v>0</v>
      </c>
      <c r="N28" s="64">
        <f t="shared" si="2"/>
        <v>76</v>
      </c>
      <c r="O28" s="64">
        <f t="shared" si="2"/>
        <v>6</v>
      </c>
      <c r="P28" s="64">
        <f t="shared" si="2"/>
        <v>14</v>
      </c>
      <c r="Q28" s="64">
        <f t="shared" si="2"/>
        <v>2</v>
      </c>
    </row>
    <row r="29" spans="1:17" s="22" customFormat="1" ht="15" customHeight="1">
      <c r="A29" s="96" t="s">
        <v>233</v>
      </c>
      <c r="B29" s="174"/>
      <c r="C29" s="256"/>
      <c r="D29" s="256"/>
      <c r="E29" s="174"/>
      <c r="F29" s="174"/>
      <c r="G29" s="174"/>
      <c r="H29" s="174"/>
      <c r="I29" s="174"/>
      <c r="J29" s="174"/>
      <c r="K29" s="174"/>
      <c r="L29" s="174"/>
      <c r="M29" s="174"/>
      <c r="N29" s="174"/>
      <c r="O29" s="174"/>
      <c r="P29" s="174"/>
      <c r="Q29" s="174"/>
    </row>
    <row r="30" spans="1:17" s="22" customFormat="1" ht="15" customHeight="1">
      <c r="A30" s="248" t="s">
        <v>217</v>
      </c>
      <c r="B30" s="174">
        <v>15</v>
      </c>
      <c r="C30" s="256">
        <f aca="true" t="shared" si="3" ref="C30:C40">+D30+M30+N30+O30+P30+Q30</f>
        <v>23</v>
      </c>
      <c r="D30" s="256">
        <f aca="true" t="shared" si="4" ref="D30:D40">SUM(G30:L30)</f>
        <v>23</v>
      </c>
      <c r="E30" s="174">
        <v>0</v>
      </c>
      <c r="F30" s="174">
        <v>0</v>
      </c>
      <c r="G30" s="174">
        <v>2</v>
      </c>
      <c r="H30" s="174">
        <v>19</v>
      </c>
      <c r="I30" s="174">
        <v>1</v>
      </c>
      <c r="J30" s="174">
        <v>0</v>
      </c>
      <c r="K30" s="174">
        <v>0</v>
      </c>
      <c r="L30" s="174">
        <v>1</v>
      </c>
      <c r="M30" s="174">
        <v>0</v>
      </c>
      <c r="N30" s="174">
        <v>0</v>
      </c>
      <c r="O30" s="174">
        <v>0</v>
      </c>
      <c r="P30" s="174">
        <v>0</v>
      </c>
      <c r="Q30" s="174">
        <v>0</v>
      </c>
    </row>
    <row r="31" spans="1:17" s="22" customFormat="1" ht="15" customHeight="1">
      <c r="A31" s="248" t="s">
        <v>214</v>
      </c>
      <c r="B31" s="63">
        <v>8</v>
      </c>
      <c r="C31" s="256">
        <f t="shared" si="3"/>
        <v>10</v>
      </c>
      <c r="D31" s="256">
        <f t="shared" si="4"/>
        <v>10</v>
      </c>
      <c r="E31" s="174">
        <v>0</v>
      </c>
      <c r="F31" s="174">
        <v>0</v>
      </c>
      <c r="G31" s="174">
        <v>1</v>
      </c>
      <c r="H31" s="63">
        <v>9</v>
      </c>
      <c r="I31" s="174">
        <v>0</v>
      </c>
      <c r="J31" s="174">
        <v>0</v>
      </c>
      <c r="K31" s="174">
        <v>0</v>
      </c>
      <c r="L31" s="174">
        <v>0</v>
      </c>
      <c r="M31" s="174">
        <v>0</v>
      </c>
      <c r="N31" s="174">
        <v>0</v>
      </c>
      <c r="O31" s="174">
        <v>0</v>
      </c>
      <c r="P31" s="174">
        <v>0</v>
      </c>
      <c r="Q31" s="174">
        <v>0</v>
      </c>
    </row>
    <row r="32" spans="1:17" s="22" customFormat="1" ht="15" customHeight="1">
      <c r="A32" s="248" t="s">
        <v>271</v>
      </c>
      <c r="B32" s="63">
        <v>39</v>
      </c>
      <c r="C32" s="256">
        <f t="shared" si="3"/>
        <v>57</v>
      </c>
      <c r="D32" s="256">
        <f t="shared" si="4"/>
        <v>57</v>
      </c>
      <c r="E32" s="174">
        <v>0</v>
      </c>
      <c r="F32" s="174">
        <v>0</v>
      </c>
      <c r="G32" s="63">
        <v>6</v>
      </c>
      <c r="H32" s="63">
        <v>48</v>
      </c>
      <c r="I32" s="174">
        <v>1</v>
      </c>
      <c r="J32" s="174">
        <v>0</v>
      </c>
      <c r="K32" s="174">
        <v>0</v>
      </c>
      <c r="L32" s="174">
        <v>2</v>
      </c>
      <c r="M32" s="174">
        <v>0</v>
      </c>
      <c r="N32" s="174">
        <v>0</v>
      </c>
      <c r="O32" s="174">
        <v>0</v>
      </c>
      <c r="P32" s="174">
        <v>0</v>
      </c>
      <c r="Q32" s="174">
        <v>0</v>
      </c>
    </row>
    <row r="33" spans="1:17" s="22" customFormat="1" ht="15" customHeight="1">
      <c r="A33" s="248" t="s">
        <v>216</v>
      </c>
      <c r="B33" s="63">
        <v>253</v>
      </c>
      <c r="C33" s="256">
        <f t="shared" si="3"/>
        <v>388</v>
      </c>
      <c r="D33" s="256">
        <f t="shared" si="4"/>
        <v>387</v>
      </c>
      <c r="E33" s="174">
        <v>0</v>
      </c>
      <c r="F33" s="174">
        <v>0</v>
      </c>
      <c r="G33" s="63">
        <v>72</v>
      </c>
      <c r="H33" s="63">
        <v>285</v>
      </c>
      <c r="I33" s="63">
        <v>8</v>
      </c>
      <c r="J33" s="174">
        <v>2</v>
      </c>
      <c r="K33" s="174">
        <v>0</v>
      </c>
      <c r="L33" s="63">
        <v>20</v>
      </c>
      <c r="M33" s="174">
        <v>0</v>
      </c>
      <c r="N33" s="174">
        <v>1</v>
      </c>
      <c r="O33" s="174">
        <v>0</v>
      </c>
      <c r="P33" s="174">
        <v>0</v>
      </c>
      <c r="Q33" s="174">
        <v>0</v>
      </c>
    </row>
    <row r="34" spans="1:85" s="62" customFormat="1" ht="15" customHeight="1">
      <c r="A34" s="24" t="s">
        <v>261</v>
      </c>
      <c r="B34" s="63">
        <v>13</v>
      </c>
      <c r="C34" s="256">
        <f t="shared" si="3"/>
        <v>21</v>
      </c>
      <c r="D34" s="256">
        <f t="shared" si="4"/>
        <v>21</v>
      </c>
      <c r="E34" s="174">
        <v>0</v>
      </c>
      <c r="F34" s="174">
        <v>0</v>
      </c>
      <c r="G34" s="174">
        <v>0</v>
      </c>
      <c r="H34" s="174">
        <v>0</v>
      </c>
      <c r="I34" s="174">
        <v>0</v>
      </c>
      <c r="J34" s="174">
        <v>0</v>
      </c>
      <c r="K34" s="174">
        <v>0</v>
      </c>
      <c r="L34" s="63">
        <v>21</v>
      </c>
      <c r="M34" s="174">
        <v>0</v>
      </c>
      <c r="N34" s="174">
        <v>0</v>
      </c>
      <c r="O34" s="174">
        <v>0</v>
      </c>
      <c r="P34" s="174">
        <v>0</v>
      </c>
      <c r="Q34" s="174">
        <v>0</v>
      </c>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row>
    <row r="35" spans="1:85" s="62" customFormat="1" ht="15" customHeight="1">
      <c r="A35" s="24" t="s">
        <v>262</v>
      </c>
      <c r="B35" s="63">
        <v>4</v>
      </c>
      <c r="C35" s="256">
        <f>+D35+M35+N35+O35+P35+Q35</f>
        <v>4</v>
      </c>
      <c r="D35" s="256">
        <f>SUM(G35:L35)</f>
        <v>4</v>
      </c>
      <c r="E35" s="174">
        <v>0</v>
      </c>
      <c r="F35" s="174">
        <v>0</v>
      </c>
      <c r="G35" s="174">
        <v>4</v>
      </c>
      <c r="H35" s="174">
        <v>0</v>
      </c>
      <c r="I35" s="174">
        <v>0</v>
      </c>
      <c r="J35" s="174">
        <v>0</v>
      </c>
      <c r="K35" s="174">
        <v>0</v>
      </c>
      <c r="L35" s="174">
        <v>0</v>
      </c>
      <c r="M35" s="174">
        <v>0</v>
      </c>
      <c r="N35" s="174">
        <v>0</v>
      </c>
      <c r="O35" s="174">
        <v>0</v>
      </c>
      <c r="P35" s="174">
        <v>0</v>
      </c>
      <c r="Q35" s="174">
        <v>0</v>
      </c>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row>
    <row r="36" spans="1:17" s="22" customFormat="1" ht="15" customHeight="1">
      <c r="A36" s="26" t="s">
        <v>230</v>
      </c>
      <c r="B36" s="63">
        <v>54</v>
      </c>
      <c r="C36" s="256">
        <f>+D36+M36+N36+O36+P36+Q36</f>
        <v>101</v>
      </c>
      <c r="D36" s="256">
        <f>SUM(G36:L36)</f>
        <v>4</v>
      </c>
      <c r="E36" s="174">
        <v>0</v>
      </c>
      <c r="F36" s="174">
        <v>0</v>
      </c>
      <c r="G36" s="63">
        <v>0</v>
      </c>
      <c r="H36" s="174">
        <v>4</v>
      </c>
      <c r="I36" s="174">
        <v>0</v>
      </c>
      <c r="J36" s="174">
        <v>0</v>
      </c>
      <c r="K36" s="174">
        <v>0</v>
      </c>
      <c r="L36" s="174">
        <v>0</v>
      </c>
      <c r="M36" s="174">
        <v>0</v>
      </c>
      <c r="N36" s="63">
        <v>75</v>
      </c>
      <c r="O36" s="63">
        <v>6</v>
      </c>
      <c r="P36" s="63">
        <v>14</v>
      </c>
      <c r="Q36" s="174">
        <v>2</v>
      </c>
    </row>
    <row r="37" spans="1:85" s="62" customFormat="1" ht="15" customHeight="1">
      <c r="A37" s="20" t="s">
        <v>15</v>
      </c>
      <c r="B37" s="65">
        <v>0</v>
      </c>
      <c r="C37" s="21">
        <f>+D37+M37+N37+O37+P37+Q37</f>
        <v>0</v>
      </c>
      <c r="D37" s="21">
        <f>SUM(G37:L37)</f>
        <v>0</v>
      </c>
      <c r="E37" s="21">
        <v>0</v>
      </c>
      <c r="F37" s="21">
        <v>0</v>
      </c>
      <c r="G37" s="21">
        <v>0</v>
      </c>
      <c r="H37" s="21">
        <v>0</v>
      </c>
      <c r="I37" s="21">
        <v>0</v>
      </c>
      <c r="J37" s="21">
        <v>0</v>
      </c>
      <c r="K37" s="21">
        <v>0</v>
      </c>
      <c r="L37" s="21">
        <v>0</v>
      </c>
      <c r="M37" s="21">
        <v>0</v>
      </c>
      <c r="N37" s="21">
        <v>0</v>
      </c>
      <c r="O37" s="21">
        <v>0</v>
      </c>
      <c r="P37" s="21"/>
      <c r="Q37" s="21">
        <v>0</v>
      </c>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row>
    <row r="38" spans="1:17" s="22" customFormat="1" ht="15" customHeight="1">
      <c r="A38" s="20" t="s">
        <v>16</v>
      </c>
      <c r="B38" s="65">
        <v>0</v>
      </c>
      <c r="C38" s="21">
        <f t="shared" si="3"/>
        <v>0</v>
      </c>
      <c r="D38" s="21">
        <f t="shared" si="4"/>
        <v>0</v>
      </c>
      <c r="E38" s="21">
        <v>0</v>
      </c>
      <c r="F38" s="21">
        <v>0</v>
      </c>
      <c r="G38" s="21">
        <v>0</v>
      </c>
      <c r="H38" s="21">
        <v>0</v>
      </c>
      <c r="I38" s="21">
        <v>0</v>
      </c>
      <c r="J38" s="21">
        <v>0</v>
      </c>
      <c r="K38" s="21">
        <v>0</v>
      </c>
      <c r="L38" s="21">
        <v>0</v>
      </c>
      <c r="M38" s="21">
        <v>0</v>
      </c>
      <c r="N38" s="21">
        <v>0</v>
      </c>
      <c r="O38" s="21">
        <v>0</v>
      </c>
      <c r="P38" s="21">
        <v>0</v>
      </c>
      <c r="Q38" s="21">
        <v>0</v>
      </c>
    </row>
    <row r="39" spans="1:17" s="22" customFormat="1" ht="15" customHeight="1">
      <c r="A39" s="29" t="s">
        <v>61</v>
      </c>
      <c r="B39" s="65">
        <v>0</v>
      </c>
      <c r="C39" s="21">
        <f>+D39+M39+N39+O39+P39+Q39</f>
        <v>0</v>
      </c>
      <c r="D39" s="21">
        <f>SUM(G39:L39)</f>
        <v>0</v>
      </c>
      <c r="E39" s="21">
        <v>0</v>
      </c>
      <c r="F39" s="21">
        <v>0</v>
      </c>
      <c r="G39" s="21">
        <v>0</v>
      </c>
      <c r="H39" s="21">
        <v>0</v>
      </c>
      <c r="I39" s="21">
        <v>0</v>
      </c>
      <c r="J39" s="21">
        <v>0</v>
      </c>
      <c r="K39" s="21">
        <v>0</v>
      </c>
      <c r="L39" s="21">
        <v>0</v>
      </c>
      <c r="M39" s="21">
        <v>0</v>
      </c>
      <c r="N39" s="21">
        <v>0</v>
      </c>
      <c r="O39" s="21">
        <v>0</v>
      </c>
      <c r="P39" s="21">
        <v>0</v>
      </c>
      <c r="Q39" s="21">
        <v>0</v>
      </c>
    </row>
    <row r="40" spans="1:17" s="22" customFormat="1" ht="15" customHeight="1">
      <c r="A40" s="20" t="s">
        <v>348</v>
      </c>
      <c r="B40" s="65"/>
      <c r="C40" s="21">
        <f t="shared" si="3"/>
        <v>0</v>
      </c>
      <c r="D40" s="21">
        <f t="shared" si="4"/>
        <v>0</v>
      </c>
      <c r="E40" s="21">
        <v>0</v>
      </c>
      <c r="F40" s="21">
        <v>0</v>
      </c>
      <c r="G40" s="21">
        <v>0</v>
      </c>
      <c r="H40" s="21">
        <v>0</v>
      </c>
      <c r="I40" s="21">
        <v>0</v>
      </c>
      <c r="J40" s="21">
        <v>0</v>
      </c>
      <c r="K40" s="21"/>
      <c r="L40" s="21"/>
      <c r="M40" s="21"/>
      <c r="N40" s="21">
        <v>0</v>
      </c>
      <c r="O40" s="21">
        <v>0</v>
      </c>
      <c r="P40" s="21">
        <v>0</v>
      </c>
      <c r="Q40" s="21">
        <v>0</v>
      </c>
    </row>
    <row r="41" spans="1:17" s="22" customFormat="1" ht="15" customHeight="1">
      <c r="A41" s="29" t="s">
        <v>62</v>
      </c>
      <c r="B41" s="64">
        <v>0</v>
      </c>
      <c r="C41" s="21">
        <f>+D41+M41+N41+O41+P41+Q41</f>
        <v>0</v>
      </c>
      <c r="D41" s="21">
        <f>SUM(G41:L41)</f>
        <v>0</v>
      </c>
      <c r="E41" s="64">
        <v>0</v>
      </c>
      <c r="F41" s="64">
        <v>0</v>
      </c>
      <c r="G41" s="64">
        <v>0</v>
      </c>
      <c r="H41" s="64">
        <v>0</v>
      </c>
      <c r="I41" s="64">
        <v>0</v>
      </c>
      <c r="J41" s="64">
        <v>0</v>
      </c>
      <c r="K41" s="64">
        <v>0</v>
      </c>
      <c r="L41" s="64">
        <v>0</v>
      </c>
      <c r="M41" s="64">
        <v>0</v>
      </c>
      <c r="N41" s="64">
        <v>0</v>
      </c>
      <c r="O41" s="64">
        <v>0</v>
      </c>
      <c r="P41" s="64">
        <v>0</v>
      </c>
      <c r="Q41" s="64">
        <v>0</v>
      </c>
    </row>
    <row r="42" spans="1:85" s="11" customFormat="1" ht="15" customHeight="1" thickBot="1">
      <c r="A42" s="30" t="s">
        <v>63</v>
      </c>
      <c r="B42" s="208">
        <v>0</v>
      </c>
      <c r="C42" s="31">
        <f>+D42+M42+N42+O42+P42+Q42</f>
        <v>0</v>
      </c>
      <c r="D42" s="31">
        <f>SUM(G42:L42)</f>
        <v>0</v>
      </c>
      <c r="E42" s="31">
        <v>0</v>
      </c>
      <c r="F42" s="31">
        <v>0</v>
      </c>
      <c r="G42" s="31">
        <v>0</v>
      </c>
      <c r="H42" s="31">
        <v>0</v>
      </c>
      <c r="I42" s="31">
        <v>0</v>
      </c>
      <c r="J42" s="31">
        <v>0</v>
      </c>
      <c r="K42" s="31">
        <v>0</v>
      </c>
      <c r="L42" s="31">
        <v>0</v>
      </c>
      <c r="M42" s="31">
        <v>0</v>
      </c>
      <c r="N42" s="31">
        <v>0</v>
      </c>
      <c r="O42" s="31">
        <v>0</v>
      </c>
      <c r="P42" s="31">
        <v>0</v>
      </c>
      <c r="Q42" s="31">
        <v>0</v>
      </c>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row>
    <row r="43" spans="1:85" s="11" customFormat="1" ht="15" customHeight="1">
      <c r="A43" s="33" t="s">
        <v>270</v>
      </c>
      <c r="B43" s="66"/>
      <c r="C43" s="66"/>
      <c r="D43" s="66"/>
      <c r="E43" s="66"/>
      <c r="F43" s="66"/>
      <c r="G43" s="66"/>
      <c r="H43" s="66"/>
      <c r="I43" s="66"/>
      <c r="J43" s="66"/>
      <c r="K43" s="66"/>
      <c r="L43" s="66"/>
      <c r="M43" s="66"/>
      <c r="N43" s="66"/>
      <c r="O43" s="66"/>
      <c r="P43" s="66"/>
      <c r="Q43" s="66"/>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row>
    <row r="44" spans="1:85" s="67" customFormat="1" ht="16.5" customHeight="1" hidden="1">
      <c r="A44" s="33" t="s">
        <v>340</v>
      </c>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row>
    <row r="45" spans="1:85" s="70" customFormat="1" ht="15" customHeight="1">
      <c r="A45" s="33" t="s">
        <v>339</v>
      </c>
      <c r="B45" s="33"/>
      <c r="C45" s="68"/>
      <c r="D45" s="68"/>
      <c r="E45" s="68"/>
      <c r="F45" s="68"/>
      <c r="G45" s="68"/>
      <c r="H45" s="68"/>
      <c r="I45" s="68"/>
      <c r="J45" s="68"/>
      <c r="K45" s="68"/>
      <c r="L45" s="68"/>
      <c r="M45" s="68"/>
      <c r="N45" s="68"/>
      <c r="O45" s="68"/>
      <c r="P45" s="68"/>
      <c r="Q45" s="68"/>
      <c r="R45" s="57"/>
      <c r="S45" s="57"/>
      <c r="T45" s="57"/>
      <c r="U45" s="57"/>
      <c r="V45" s="57"/>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row>
    <row r="46" spans="1:85" s="70" customFormat="1" ht="14.25" customHeight="1">
      <c r="A46" s="33" t="s">
        <v>30</v>
      </c>
      <c r="B46" s="268" t="e">
        <f>B15+B21+B37+B38+B39+B40+B41+#REF!+B42+B28</f>
        <v>#REF!</v>
      </c>
      <c r="C46" s="268" t="e">
        <f>C15+C21+C37+C38+C39+C40+C41+#REF!+C42+C28</f>
        <v>#REF!</v>
      </c>
      <c r="D46" s="268" t="e">
        <f>D15+D21+D37+D38+D39+D40+D41+#REF!+D42+D28</f>
        <v>#REF!</v>
      </c>
      <c r="E46" s="268" t="e">
        <f>E15+E21+E37+E38+E39+E40+E41+#REF!+E42+E28</f>
        <v>#REF!</v>
      </c>
      <c r="F46" s="268" t="e">
        <f>F15+F21+F37+F38+F39+F40+F41+#REF!+F42+F28</f>
        <v>#REF!</v>
      </c>
      <c r="G46" s="268" t="e">
        <f>G15+G21+G37+G38+G39+G40+G41+#REF!+G42+G28</f>
        <v>#REF!</v>
      </c>
      <c r="H46" s="268" t="e">
        <f>H15+H21+H37+H38+H39+H40+H41+#REF!+H42+H28</f>
        <v>#REF!</v>
      </c>
      <c r="I46" s="268" t="e">
        <f>I15+I21+I37+I38+I39+I40+I41+#REF!+I42+I28</f>
        <v>#REF!</v>
      </c>
      <c r="J46" s="268" t="e">
        <f>J15+J21+J37+J38+J39+J40+J41+#REF!+J42+J28</f>
        <v>#REF!</v>
      </c>
      <c r="K46" s="268" t="e">
        <f>K15+K21+K37+K38+K39+K40+K41+#REF!+K42+K28</f>
        <v>#REF!</v>
      </c>
      <c r="L46" s="268" t="e">
        <f>L15+L21+L37+L38+L39+L40+L41+#REF!+L42+L28</f>
        <v>#REF!</v>
      </c>
      <c r="M46" s="268" t="e">
        <f>M15+M21+M37+M38+M39+M40+M41+#REF!+M42+M28</f>
        <v>#REF!</v>
      </c>
      <c r="N46" s="268" t="e">
        <f>N15+N21+N37+N38+N39+N40+N41+#REF!+N42+N28</f>
        <v>#REF!</v>
      </c>
      <c r="O46" s="268" t="e">
        <f>O15+O21+O37+O38+O39+O40+O41+#REF!+O42+O28</f>
        <v>#REF!</v>
      </c>
      <c r="P46" s="268" t="e">
        <f>P15+P21+P37+P38+P39+P40+P41+#REF!+P42+P28</f>
        <v>#REF!</v>
      </c>
      <c r="Q46" s="268" t="e">
        <f>Q15+Q21+Q37+Q38+Q39+Q40+Q41+#REF!+Q42+Q28</f>
        <v>#REF!</v>
      </c>
      <c r="R46" s="57"/>
      <c r="S46" s="57"/>
      <c r="T46" s="57"/>
      <c r="U46" s="57"/>
      <c r="V46" s="57"/>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row>
    <row r="47" spans="18:85" ht="16.5">
      <c r="R47" s="43"/>
      <c r="S47" s="43"/>
      <c r="T47" s="43"/>
      <c r="U47" s="43"/>
      <c r="V47" s="43"/>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row>
    <row r="48" spans="18:85" ht="16.5">
      <c r="R48" s="43"/>
      <c r="S48" s="43"/>
      <c r="T48" s="43"/>
      <c r="U48" s="43"/>
      <c r="V48" s="43"/>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row>
    <row r="49" spans="18:85" ht="16.5">
      <c r="R49" s="43"/>
      <c r="S49" s="43"/>
      <c r="T49" s="43"/>
      <c r="U49" s="43"/>
      <c r="V49" s="43"/>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row>
    <row r="50" spans="18:85" ht="16.5">
      <c r="R50" s="43"/>
      <c r="S50" s="43"/>
      <c r="T50" s="43"/>
      <c r="U50" s="43"/>
      <c r="V50" s="43"/>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row>
    <row r="51" spans="18:85" ht="16.5">
      <c r="R51" s="43"/>
      <c r="S51" s="43"/>
      <c r="T51" s="43"/>
      <c r="U51" s="43"/>
      <c r="V51" s="43"/>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row>
    <row r="52" spans="18:85" ht="16.5">
      <c r="R52" s="43"/>
      <c r="S52" s="43"/>
      <c r="T52" s="43"/>
      <c r="U52" s="43"/>
      <c r="V52" s="43"/>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row>
    <row r="53" spans="18:85" ht="16.5">
      <c r="R53" s="43"/>
      <c r="S53" s="43"/>
      <c r="T53" s="43"/>
      <c r="U53" s="43"/>
      <c r="V53" s="43"/>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row>
    <row r="54" spans="18:85" ht="16.5">
      <c r="R54" s="43"/>
      <c r="S54" s="43"/>
      <c r="T54" s="43"/>
      <c r="U54" s="43"/>
      <c r="V54" s="43"/>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row>
    <row r="55" spans="18:85" ht="16.5">
      <c r="R55" s="43"/>
      <c r="S55" s="43"/>
      <c r="T55" s="43"/>
      <c r="U55" s="43"/>
      <c r="V55" s="43"/>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row>
    <row r="56" spans="18:85" ht="16.5">
      <c r="R56" s="43"/>
      <c r="S56" s="43"/>
      <c r="T56" s="43"/>
      <c r="U56" s="43"/>
      <c r="V56" s="43"/>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row>
    <row r="57" spans="18:85" ht="16.5">
      <c r="R57" s="43"/>
      <c r="S57" s="43"/>
      <c r="T57" s="43"/>
      <c r="U57" s="43"/>
      <c r="V57" s="43"/>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row>
    <row r="58" spans="18:85" ht="16.5">
      <c r="R58" s="43"/>
      <c r="S58" s="43"/>
      <c r="T58" s="43"/>
      <c r="U58" s="43"/>
      <c r="V58" s="43"/>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row>
    <row r="59" spans="18:85" ht="16.5">
      <c r="R59" s="43"/>
      <c r="S59" s="43"/>
      <c r="T59" s="43"/>
      <c r="U59" s="43"/>
      <c r="V59" s="43"/>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row>
    <row r="60" spans="18:85" ht="16.5">
      <c r="R60" s="43"/>
      <c r="S60" s="43"/>
      <c r="T60" s="43"/>
      <c r="U60" s="43"/>
      <c r="V60" s="43"/>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row>
    <row r="61" spans="18:85" ht="16.5">
      <c r="R61" s="43"/>
      <c r="S61" s="43"/>
      <c r="T61" s="43"/>
      <c r="U61" s="43"/>
      <c r="V61" s="43"/>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row>
    <row r="62" spans="18:85" ht="16.5">
      <c r="R62" s="43"/>
      <c r="S62" s="43"/>
      <c r="T62" s="43"/>
      <c r="U62" s="43"/>
      <c r="V62" s="43"/>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row>
    <row r="63" spans="18:85" ht="16.5">
      <c r="R63" s="43"/>
      <c r="S63" s="43"/>
      <c r="T63" s="43"/>
      <c r="U63" s="43"/>
      <c r="V63" s="43"/>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row>
    <row r="64" spans="18:85" ht="16.5">
      <c r="R64" s="43"/>
      <c r="S64" s="43"/>
      <c r="T64" s="43"/>
      <c r="U64" s="43"/>
      <c r="V64" s="43"/>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row>
    <row r="65" spans="18:85" ht="16.5" hidden="1">
      <c r="R65" s="43"/>
      <c r="S65" s="43"/>
      <c r="T65" s="43"/>
      <c r="U65" s="43"/>
      <c r="V65" s="43"/>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row>
    <row r="66" spans="18:85" ht="16.5">
      <c r="R66" s="43"/>
      <c r="S66" s="43"/>
      <c r="T66" s="43"/>
      <c r="U66" s="43"/>
      <c r="V66" s="43"/>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row>
    <row r="67" spans="18:85" ht="16.5">
      <c r="R67" s="43"/>
      <c r="S67" s="43"/>
      <c r="T67" s="43"/>
      <c r="U67" s="43"/>
      <c r="V67" s="43"/>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row>
    <row r="68" spans="18:85" ht="16.5">
      <c r="R68" s="43"/>
      <c r="S68" s="43"/>
      <c r="T68" s="43"/>
      <c r="U68" s="43"/>
      <c r="V68" s="43"/>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row>
    <row r="69" spans="18:85" ht="16.5">
      <c r="R69" s="43"/>
      <c r="S69" s="43"/>
      <c r="T69" s="43"/>
      <c r="U69" s="43"/>
      <c r="V69" s="43"/>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row>
    <row r="70" spans="18:85" ht="16.5">
      <c r="R70" s="43"/>
      <c r="S70" s="43"/>
      <c r="T70" s="43"/>
      <c r="U70" s="43"/>
      <c r="V70" s="43"/>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row>
    <row r="71" spans="18:85" ht="16.5">
      <c r="R71" s="43"/>
      <c r="S71" s="43"/>
      <c r="T71" s="43"/>
      <c r="U71" s="43"/>
      <c r="V71" s="43"/>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row>
    <row r="72" spans="18:85" ht="16.5">
      <c r="R72" s="43"/>
      <c r="S72" s="43"/>
      <c r="T72" s="43"/>
      <c r="U72" s="43"/>
      <c r="V72" s="43"/>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row>
    <row r="73" spans="18:85" ht="16.5">
      <c r="R73" s="43"/>
      <c r="S73" s="43"/>
      <c r="T73" s="43"/>
      <c r="U73" s="43"/>
      <c r="V73" s="43"/>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row>
    <row r="74" spans="18:85" ht="16.5">
      <c r="R74" s="43"/>
      <c r="S74" s="43"/>
      <c r="T74" s="43"/>
      <c r="U74" s="43"/>
      <c r="V74" s="43"/>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row>
    <row r="75" spans="18:85" ht="16.5">
      <c r="R75" s="43"/>
      <c r="S75" s="43"/>
      <c r="T75" s="43"/>
      <c r="U75" s="43"/>
      <c r="V75" s="43"/>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row>
    <row r="76" spans="18:85" ht="16.5">
      <c r="R76" s="43"/>
      <c r="S76" s="43"/>
      <c r="T76" s="43"/>
      <c r="U76" s="43"/>
      <c r="V76" s="43"/>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row>
    <row r="77" spans="18:85" ht="16.5">
      <c r="R77" s="43"/>
      <c r="S77" s="43"/>
      <c r="T77" s="43"/>
      <c r="U77" s="43"/>
      <c r="V77" s="43"/>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row>
    <row r="78" spans="9:85" ht="16.5">
      <c r="I78" s="45">
        <v>0</v>
      </c>
      <c r="R78" s="43"/>
      <c r="S78" s="43"/>
      <c r="T78" s="43"/>
      <c r="U78" s="43"/>
      <c r="V78" s="43"/>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row>
    <row r="79" spans="18:85" ht="16.5">
      <c r="R79" s="43"/>
      <c r="S79" s="43"/>
      <c r="T79" s="43"/>
      <c r="U79" s="43"/>
      <c r="V79" s="43"/>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row>
    <row r="80" spans="18:85" ht="16.5">
      <c r="R80" s="43"/>
      <c r="S80" s="43"/>
      <c r="T80" s="43"/>
      <c r="U80" s="43"/>
      <c r="V80" s="43"/>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row>
    <row r="81" spans="18:85" ht="16.5">
      <c r="R81" s="43"/>
      <c r="S81" s="43"/>
      <c r="T81" s="43"/>
      <c r="U81" s="43"/>
      <c r="V81" s="43"/>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row>
    <row r="82" spans="18:85" ht="16.5">
      <c r="R82" s="43"/>
      <c r="S82" s="43"/>
      <c r="T82" s="43"/>
      <c r="U82" s="43"/>
      <c r="V82" s="43"/>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row>
    <row r="83" spans="18:85" ht="16.5">
      <c r="R83" s="43"/>
      <c r="S83" s="43"/>
      <c r="T83" s="43"/>
      <c r="U83" s="43"/>
      <c r="V83" s="43"/>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row>
    <row r="84" spans="18:85" ht="16.5">
      <c r="R84" s="43"/>
      <c r="S84" s="43"/>
      <c r="T84" s="43"/>
      <c r="U84" s="43"/>
      <c r="V84" s="43"/>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row>
    <row r="85" spans="18:85" ht="16.5">
      <c r="R85" s="43"/>
      <c r="S85" s="43"/>
      <c r="T85" s="43"/>
      <c r="U85" s="43"/>
      <c r="V85" s="43"/>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row>
    <row r="86" spans="18:85" ht="16.5" hidden="1">
      <c r="R86" s="43"/>
      <c r="S86" s="43"/>
      <c r="T86" s="43"/>
      <c r="U86" s="43"/>
      <c r="V86" s="43"/>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row>
    <row r="87" spans="18:85" ht="16.5">
      <c r="R87" s="43"/>
      <c r="S87" s="43"/>
      <c r="T87" s="43"/>
      <c r="U87" s="43"/>
      <c r="V87" s="43"/>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row>
    <row r="88" spans="18:85" ht="16.5">
      <c r="R88" s="43"/>
      <c r="S88" s="43"/>
      <c r="T88" s="43"/>
      <c r="U88" s="43"/>
      <c r="V88" s="43"/>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row>
    <row r="89" spans="18:85" ht="16.5">
      <c r="R89" s="43"/>
      <c r="S89" s="43"/>
      <c r="T89" s="43"/>
      <c r="U89" s="43"/>
      <c r="V89" s="43"/>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row>
    <row r="90" spans="18:85" ht="16.5">
      <c r="R90" s="43"/>
      <c r="S90" s="43"/>
      <c r="T90" s="43"/>
      <c r="U90" s="43"/>
      <c r="V90" s="43"/>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row>
    <row r="91" spans="18:85" ht="16.5">
      <c r="R91" s="43"/>
      <c r="S91" s="43"/>
      <c r="T91" s="43"/>
      <c r="U91" s="43"/>
      <c r="V91" s="43"/>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row>
    <row r="92" spans="18:85" ht="16.5">
      <c r="R92" s="43"/>
      <c r="S92" s="43"/>
      <c r="T92" s="43"/>
      <c r="U92" s="43"/>
      <c r="V92" s="43"/>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row>
    <row r="93" spans="18:85" ht="16.5">
      <c r="R93" s="43"/>
      <c r="S93" s="43"/>
      <c r="T93" s="43"/>
      <c r="U93" s="43"/>
      <c r="V93" s="43"/>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row>
    <row r="94" spans="18:85" ht="16.5">
      <c r="R94" s="43"/>
      <c r="S94" s="43"/>
      <c r="T94" s="43"/>
      <c r="U94" s="43"/>
      <c r="V94" s="43"/>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row>
    <row r="95" spans="18:85" ht="16.5">
      <c r="R95" s="43"/>
      <c r="S95" s="43"/>
      <c r="T95" s="43"/>
      <c r="U95" s="43"/>
      <c r="V95" s="43"/>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row>
    <row r="96" spans="18:85" ht="16.5">
      <c r="R96" s="43"/>
      <c r="S96" s="43"/>
      <c r="T96" s="43"/>
      <c r="U96" s="43"/>
      <c r="V96" s="43"/>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row>
    <row r="97" spans="18:85" ht="16.5">
      <c r="R97" s="43"/>
      <c r="S97" s="43"/>
      <c r="T97" s="43"/>
      <c r="U97" s="43"/>
      <c r="V97" s="43"/>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row>
    <row r="98" spans="9:85" ht="16.5">
      <c r="I98" s="45">
        <v>0</v>
      </c>
      <c r="R98" s="43"/>
      <c r="S98" s="43"/>
      <c r="T98" s="43"/>
      <c r="U98" s="43"/>
      <c r="V98" s="43"/>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row>
    <row r="99" spans="18:85" ht="16.5">
      <c r="R99" s="43"/>
      <c r="S99" s="43"/>
      <c r="T99" s="43"/>
      <c r="U99" s="43"/>
      <c r="V99" s="43"/>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row>
    <row r="100" spans="18:85" ht="16.5">
      <c r="R100" s="43"/>
      <c r="S100" s="43"/>
      <c r="T100" s="43"/>
      <c r="U100" s="43"/>
      <c r="V100" s="43"/>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row>
    <row r="101" spans="18:85" ht="16.5">
      <c r="R101" s="43"/>
      <c r="S101" s="43"/>
      <c r="T101" s="43"/>
      <c r="U101" s="43"/>
      <c r="V101" s="43"/>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row>
    <row r="102" spans="18:85" ht="16.5">
      <c r="R102" s="43"/>
      <c r="S102" s="43"/>
      <c r="T102" s="43"/>
      <c r="U102" s="43"/>
      <c r="V102" s="43"/>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row>
    <row r="103" spans="18:85" ht="16.5">
      <c r="R103" s="43"/>
      <c r="S103" s="43"/>
      <c r="T103" s="43"/>
      <c r="U103" s="43"/>
      <c r="V103" s="43"/>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row>
    <row r="104" spans="18:85" ht="16.5">
      <c r="R104" s="43"/>
      <c r="S104" s="43"/>
      <c r="T104" s="43"/>
      <c r="U104" s="43"/>
      <c r="V104" s="43"/>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row>
    <row r="105" spans="18:85" ht="16.5">
      <c r="R105" s="43"/>
      <c r="S105" s="43"/>
      <c r="T105" s="43"/>
      <c r="U105" s="43"/>
      <c r="V105" s="43"/>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row>
    <row r="106" spans="18:85" ht="16.5">
      <c r="R106" s="43"/>
      <c r="S106" s="43"/>
      <c r="T106" s="43"/>
      <c r="U106" s="43"/>
      <c r="V106" s="43"/>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row>
    <row r="107" spans="18:85" ht="0.75" customHeight="1">
      <c r="R107" s="43"/>
      <c r="S107" s="43"/>
      <c r="T107" s="43"/>
      <c r="U107" s="43"/>
      <c r="V107" s="43"/>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row>
    <row r="108" spans="18:85" ht="16.5">
      <c r="R108" s="43"/>
      <c r="S108" s="43"/>
      <c r="T108" s="43"/>
      <c r="U108" s="43"/>
      <c r="V108" s="43"/>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row>
    <row r="109" spans="18:85" ht="16.5">
      <c r="R109" s="43"/>
      <c r="S109" s="43"/>
      <c r="T109" s="43"/>
      <c r="U109" s="43"/>
      <c r="V109" s="43"/>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row>
    <row r="110" spans="18:85" ht="16.5">
      <c r="R110" s="43"/>
      <c r="S110" s="43"/>
      <c r="T110" s="43"/>
      <c r="U110" s="43"/>
      <c r="V110" s="43"/>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row>
    <row r="111" spans="18:85" ht="16.5">
      <c r="R111" s="43"/>
      <c r="S111" s="43"/>
      <c r="T111" s="43"/>
      <c r="U111" s="43"/>
      <c r="V111" s="43"/>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row>
    <row r="112" spans="2:85" ht="16.5">
      <c r="B112" s="5" t="s">
        <v>359</v>
      </c>
      <c r="R112" s="43"/>
      <c r="S112" s="43"/>
      <c r="T112" s="43"/>
      <c r="U112" s="43"/>
      <c r="V112" s="43"/>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row>
    <row r="113" spans="18:85" ht="16.5">
      <c r="R113" s="43"/>
      <c r="S113" s="43"/>
      <c r="T113" s="43"/>
      <c r="U113" s="43"/>
      <c r="V113" s="43"/>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row>
    <row r="114" spans="18:85" ht="16.5">
      <c r="R114" s="43"/>
      <c r="S114" s="43"/>
      <c r="T114" s="43"/>
      <c r="U114" s="43"/>
      <c r="V114" s="43"/>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row>
    <row r="115" spans="18:85" ht="16.5">
      <c r="R115" s="43"/>
      <c r="S115" s="43"/>
      <c r="T115" s="43"/>
      <c r="U115" s="43"/>
      <c r="V115" s="43"/>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row>
    <row r="116" spans="18:85" ht="16.5">
      <c r="R116" s="43"/>
      <c r="S116" s="43"/>
      <c r="T116" s="43"/>
      <c r="U116" s="43"/>
      <c r="V116" s="43"/>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row>
    <row r="117" spans="18:85" ht="16.5">
      <c r="R117" s="43"/>
      <c r="S117" s="43"/>
      <c r="T117" s="43"/>
      <c r="U117" s="43"/>
      <c r="V117" s="43"/>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row>
    <row r="118" spans="18:85" ht="16.5">
      <c r="R118" s="43"/>
      <c r="S118" s="43"/>
      <c r="T118" s="43"/>
      <c r="U118" s="43"/>
      <c r="V118" s="43"/>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row>
    <row r="119" spans="18:85" ht="16.5">
      <c r="R119" s="43"/>
      <c r="S119" s="43"/>
      <c r="T119" s="43"/>
      <c r="U119" s="43"/>
      <c r="V119" s="43"/>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row>
    <row r="120" spans="18:85" ht="16.5">
      <c r="R120" s="43"/>
      <c r="S120" s="43"/>
      <c r="T120" s="43"/>
      <c r="U120" s="43"/>
      <c r="V120" s="43"/>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row>
    <row r="121" spans="18:85" ht="16.5">
      <c r="R121" s="43"/>
      <c r="S121" s="43"/>
      <c r="T121" s="43"/>
      <c r="U121" s="43"/>
      <c r="V121" s="43"/>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row>
    <row r="122" spans="18:85" ht="16.5">
      <c r="R122" s="43"/>
      <c r="S122" s="43"/>
      <c r="T122" s="43"/>
      <c r="U122" s="43"/>
      <c r="V122" s="43"/>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row>
    <row r="123" spans="18:85" ht="16.5">
      <c r="R123" s="43"/>
      <c r="S123" s="43"/>
      <c r="T123" s="43"/>
      <c r="U123" s="43"/>
      <c r="V123" s="43"/>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row>
    <row r="124" spans="18:85" ht="16.5">
      <c r="R124" s="43"/>
      <c r="S124" s="43"/>
      <c r="T124" s="43"/>
      <c r="U124" s="43"/>
      <c r="V124" s="43"/>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row>
    <row r="125" spans="18:85" ht="16.5">
      <c r="R125" s="43"/>
      <c r="S125" s="43"/>
      <c r="T125" s="43"/>
      <c r="U125" s="43"/>
      <c r="V125" s="43"/>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row>
    <row r="126" spans="18:85" ht="16.5">
      <c r="R126" s="43"/>
      <c r="S126" s="43"/>
      <c r="T126" s="43"/>
      <c r="U126" s="43"/>
      <c r="V126" s="43"/>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row>
    <row r="127" spans="18:85" ht="16.5">
      <c r="R127" s="43"/>
      <c r="S127" s="43"/>
      <c r="T127" s="43"/>
      <c r="U127" s="43"/>
      <c r="V127" s="43"/>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row>
    <row r="128" spans="18:85" ht="16.5">
      <c r="R128" s="43"/>
      <c r="S128" s="43"/>
      <c r="T128" s="43"/>
      <c r="U128" s="43"/>
      <c r="V128" s="43"/>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row>
    <row r="129" spans="18:85" ht="16.5">
      <c r="R129" s="43"/>
      <c r="S129" s="43"/>
      <c r="T129" s="43"/>
      <c r="U129" s="43"/>
      <c r="V129" s="43"/>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row>
    <row r="130" spans="18:85" ht="16.5">
      <c r="R130" s="43"/>
      <c r="S130" s="43"/>
      <c r="T130" s="43"/>
      <c r="U130" s="43"/>
      <c r="V130" s="43"/>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row>
    <row r="131" spans="18:85" ht="16.5">
      <c r="R131" s="43"/>
      <c r="S131" s="43"/>
      <c r="T131" s="43"/>
      <c r="U131" s="43"/>
      <c r="V131" s="43"/>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row>
    <row r="132" spans="18:85" ht="16.5">
      <c r="R132" s="43"/>
      <c r="S132" s="43"/>
      <c r="T132" s="43"/>
      <c r="U132" s="43"/>
      <c r="V132" s="43"/>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row>
    <row r="133" spans="18:85" ht="16.5">
      <c r="R133" s="43"/>
      <c r="S133" s="43"/>
      <c r="T133" s="43"/>
      <c r="U133" s="43"/>
      <c r="V133" s="43"/>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row>
    <row r="134" spans="18:85" ht="16.5">
      <c r="R134" s="43"/>
      <c r="S134" s="43"/>
      <c r="T134" s="43"/>
      <c r="U134" s="43"/>
      <c r="V134" s="43"/>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row>
    <row r="135" spans="18:85" ht="16.5">
      <c r="R135" s="43"/>
      <c r="S135" s="43"/>
      <c r="T135" s="43"/>
      <c r="U135" s="43"/>
      <c r="V135" s="43"/>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row>
    <row r="136" spans="18:85" ht="16.5">
      <c r="R136" s="43"/>
      <c r="S136" s="43"/>
      <c r="T136" s="43"/>
      <c r="U136" s="43"/>
      <c r="V136" s="43"/>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row>
    <row r="137" spans="18:85" ht="16.5">
      <c r="R137" s="43"/>
      <c r="S137" s="43"/>
      <c r="T137" s="43"/>
      <c r="U137" s="43"/>
      <c r="V137" s="43"/>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row>
    <row r="138" spans="18:85" ht="16.5">
      <c r="R138" s="43"/>
      <c r="S138" s="43"/>
      <c r="T138" s="43"/>
      <c r="U138" s="43"/>
      <c r="V138" s="43"/>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row>
    <row r="139" spans="18:85" ht="16.5">
      <c r="R139" s="43"/>
      <c r="S139" s="43"/>
      <c r="T139" s="43"/>
      <c r="U139" s="43"/>
      <c r="V139" s="43"/>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row>
    <row r="140" spans="18:85" ht="16.5">
      <c r="R140" s="43"/>
      <c r="S140" s="43"/>
      <c r="T140" s="43"/>
      <c r="U140" s="43"/>
      <c r="V140" s="43"/>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row>
    <row r="141" spans="18:85" ht="16.5">
      <c r="R141" s="43"/>
      <c r="S141" s="43"/>
      <c r="T141" s="43"/>
      <c r="U141" s="43"/>
      <c r="V141" s="43"/>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row>
    <row r="142" spans="18:85" ht="16.5">
      <c r="R142" s="43"/>
      <c r="S142" s="43"/>
      <c r="T142" s="43"/>
      <c r="U142" s="43"/>
      <c r="V142" s="43"/>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row>
    <row r="143" spans="18:85" ht="16.5">
      <c r="R143" s="43"/>
      <c r="S143" s="43"/>
      <c r="T143" s="43"/>
      <c r="U143" s="43"/>
      <c r="V143" s="43"/>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row>
    <row r="144" spans="18:85" ht="16.5">
      <c r="R144" s="43"/>
      <c r="S144" s="43"/>
      <c r="T144" s="43"/>
      <c r="U144" s="43"/>
      <c r="V144" s="43"/>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row>
    <row r="145" spans="18:85" ht="16.5">
      <c r="R145" s="43"/>
      <c r="S145" s="43"/>
      <c r="T145" s="43"/>
      <c r="U145" s="43"/>
      <c r="V145" s="43"/>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row>
    <row r="146" spans="18:85" ht="16.5">
      <c r="R146" s="43"/>
      <c r="S146" s="43"/>
      <c r="T146" s="43"/>
      <c r="U146" s="43"/>
      <c r="V146" s="43"/>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row>
    <row r="147" spans="18:85" ht="16.5">
      <c r="R147" s="43"/>
      <c r="S147" s="43"/>
      <c r="T147" s="43"/>
      <c r="U147" s="43"/>
      <c r="V147" s="43"/>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row>
    <row r="148" spans="18:85" ht="16.5">
      <c r="R148" s="43"/>
      <c r="S148" s="43"/>
      <c r="T148" s="43"/>
      <c r="U148" s="43"/>
      <c r="V148" s="43"/>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row>
    <row r="149" spans="18:85" ht="16.5">
      <c r="R149" s="43"/>
      <c r="S149" s="43"/>
      <c r="T149" s="43"/>
      <c r="U149" s="43"/>
      <c r="V149" s="43"/>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row>
    <row r="150" spans="18:85" ht="16.5">
      <c r="R150" s="43"/>
      <c r="S150" s="43"/>
      <c r="T150" s="43"/>
      <c r="U150" s="43"/>
      <c r="V150" s="43"/>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row>
    <row r="151" spans="18:85" ht="16.5">
      <c r="R151" s="43"/>
      <c r="S151" s="43"/>
      <c r="T151" s="43"/>
      <c r="U151" s="43"/>
      <c r="V151" s="43"/>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row>
    <row r="152" spans="18:85" ht="16.5">
      <c r="R152" s="43"/>
      <c r="S152" s="43"/>
      <c r="T152" s="43"/>
      <c r="U152" s="43"/>
      <c r="V152" s="43"/>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row>
    <row r="153" spans="18:85" ht="16.5">
      <c r="R153" s="43"/>
      <c r="S153" s="43"/>
      <c r="T153" s="43"/>
      <c r="U153" s="43"/>
      <c r="V153" s="43"/>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row>
    <row r="154" spans="18:85" ht="16.5">
      <c r="R154" s="43"/>
      <c r="S154" s="43"/>
      <c r="T154" s="43"/>
      <c r="U154" s="43"/>
      <c r="V154" s="43"/>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row>
    <row r="155" spans="18:85" ht="16.5">
      <c r="R155" s="43"/>
      <c r="S155" s="43"/>
      <c r="T155" s="43"/>
      <c r="U155" s="43"/>
      <c r="V155" s="43"/>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row>
    <row r="156" spans="18:85" ht="16.5">
      <c r="R156" s="43"/>
      <c r="S156" s="43"/>
      <c r="T156" s="43"/>
      <c r="U156" s="43"/>
      <c r="V156" s="43"/>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row>
    <row r="157" spans="18:85" ht="16.5">
      <c r="R157" s="43"/>
      <c r="S157" s="43"/>
      <c r="T157" s="43"/>
      <c r="U157" s="43"/>
      <c r="V157" s="43"/>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row>
    <row r="158" spans="18:85" ht="16.5">
      <c r="R158" s="43"/>
      <c r="S158" s="43"/>
      <c r="T158" s="43"/>
      <c r="U158" s="43"/>
      <c r="V158" s="43"/>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row>
    <row r="159" spans="18:85" ht="16.5">
      <c r="R159" s="43"/>
      <c r="S159" s="43"/>
      <c r="T159" s="43"/>
      <c r="U159" s="43"/>
      <c r="V159" s="43"/>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row>
    <row r="160" spans="18:85" ht="16.5">
      <c r="R160" s="43"/>
      <c r="S160" s="43"/>
      <c r="T160" s="43"/>
      <c r="U160" s="43"/>
      <c r="V160" s="43"/>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row>
    <row r="161" spans="18:85" ht="16.5">
      <c r="R161" s="43"/>
      <c r="S161" s="43"/>
      <c r="T161" s="43"/>
      <c r="U161" s="43"/>
      <c r="V161" s="43"/>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row>
    <row r="162" spans="18:85" ht="16.5">
      <c r="R162" s="43"/>
      <c r="S162" s="43"/>
      <c r="T162" s="43"/>
      <c r="U162" s="43"/>
      <c r="V162" s="43"/>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row>
    <row r="163" spans="18:85" ht="16.5">
      <c r="R163" s="43"/>
      <c r="S163" s="43"/>
      <c r="T163" s="43"/>
      <c r="U163" s="43"/>
      <c r="V163" s="43"/>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row>
    <row r="164" spans="18:85" ht="16.5">
      <c r="R164" s="43"/>
      <c r="S164" s="43"/>
      <c r="T164" s="43"/>
      <c r="U164" s="43"/>
      <c r="V164" s="43"/>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row>
    <row r="165" spans="18:85" ht="16.5">
      <c r="R165" s="43"/>
      <c r="S165" s="43"/>
      <c r="T165" s="43"/>
      <c r="U165" s="43"/>
      <c r="V165" s="43"/>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row>
    <row r="166" spans="18:85" ht="16.5">
      <c r="R166" s="43"/>
      <c r="S166" s="43"/>
      <c r="T166" s="43"/>
      <c r="U166" s="43"/>
      <c r="V166" s="43"/>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row>
    <row r="167" spans="18:85" ht="16.5">
      <c r="R167" s="43"/>
      <c r="S167" s="43"/>
      <c r="T167" s="43"/>
      <c r="U167" s="43"/>
      <c r="V167" s="43"/>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row>
    <row r="168" spans="18:85" ht="16.5">
      <c r="R168" s="43"/>
      <c r="S168" s="43"/>
      <c r="T168" s="43"/>
      <c r="U168" s="43"/>
      <c r="V168" s="43"/>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row>
    <row r="169" spans="18:85" ht="16.5">
      <c r="R169" s="43"/>
      <c r="S169" s="43"/>
      <c r="T169" s="43"/>
      <c r="U169" s="43"/>
      <c r="V169" s="43"/>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row>
    <row r="170" spans="18:85" ht="16.5">
      <c r="R170" s="43"/>
      <c r="S170" s="43"/>
      <c r="T170" s="43"/>
      <c r="U170" s="43"/>
      <c r="V170" s="43"/>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row>
    <row r="171" spans="18:85" ht="16.5">
      <c r="R171" s="43"/>
      <c r="S171" s="43"/>
      <c r="T171" s="43"/>
      <c r="U171" s="43"/>
      <c r="V171" s="43"/>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row>
    <row r="172" spans="18:85" ht="16.5">
      <c r="R172" s="43"/>
      <c r="S172" s="43"/>
      <c r="T172" s="43"/>
      <c r="U172" s="43"/>
      <c r="V172" s="43"/>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row>
    <row r="173" spans="18:85" ht="16.5">
      <c r="R173" s="43"/>
      <c r="S173" s="43"/>
      <c r="T173" s="43"/>
      <c r="U173" s="43"/>
      <c r="V173" s="43"/>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row>
    <row r="174" spans="18:85" ht="16.5">
      <c r="R174" s="43"/>
      <c r="S174" s="43"/>
      <c r="T174" s="43"/>
      <c r="U174" s="43"/>
      <c r="V174" s="43"/>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row>
    <row r="175" spans="18:85" ht="16.5">
      <c r="R175" s="43"/>
      <c r="S175" s="43"/>
      <c r="T175" s="43"/>
      <c r="U175" s="43"/>
      <c r="V175" s="43"/>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row>
    <row r="176" spans="18:85" ht="16.5">
      <c r="R176" s="43"/>
      <c r="S176" s="43"/>
      <c r="T176" s="43"/>
      <c r="U176" s="43"/>
      <c r="V176" s="43"/>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row>
    <row r="177" spans="18:85" ht="16.5">
      <c r="R177" s="43"/>
      <c r="S177" s="43"/>
      <c r="T177" s="43"/>
      <c r="U177" s="43"/>
      <c r="V177" s="43"/>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row>
    <row r="178" spans="18:85" ht="16.5">
      <c r="R178" s="43"/>
      <c r="S178" s="43"/>
      <c r="T178" s="43"/>
      <c r="U178" s="43"/>
      <c r="V178" s="43"/>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row>
    <row r="179" spans="18:85" ht="16.5">
      <c r="R179" s="43"/>
      <c r="S179" s="43"/>
      <c r="T179" s="43"/>
      <c r="U179" s="43"/>
      <c r="V179" s="43"/>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row>
    <row r="180" spans="18:85" ht="16.5">
      <c r="R180" s="43"/>
      <c r="S180" s="43"/>
      <c r="T180" s="43"/>
      <c r="U180" s="43"/>
      <c r="V180" s="43"/>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row>
    <row r="181" spans="18:85" ht="16.5">
      <c r="R181" s="43"/>
      <c r="S181" s="43"/>
      <c r="T181" s="43"/>
      <c r="U181" s="43"/>
      <c r="V181" s="43"/>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row>
    <row r="182" spans="18:85" ht="16.5">
      <c r="R182" s="43"/>
      <c r="S182" s="43"/>
      <c r="T182" s="43"/>
      <c r="U182" s="43"/>
      <c r="V182" s="43"/>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row>
    <row r="183" spans="18:85" ht="16.5">
      <c r="R183" s="43"/>
      <c r="S183" s="43"/>
      <c r="T183" s="43"/>
      <c r="U183" s="43"/>
      <c r="V183" s="43"/>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row>
    <row r="184" spans="18:85" ht="16.5">
      <c r="R184" s="43"/>
      <c r="S184" s="43"/>
      <c r="T184" s="43"/>
      <c r="U184" s="43"/>
      <c r="V184" s="43"/>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row>
    <row r="185" spans="18:85" ht="16.5">
      <c r="R185" s="43"/>
      <c r="S185" s="43"/>
      <c r="T185" s="43"/>
      <c r="U185" s="43"/>
      <c r="V185" s="43"/>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row>
    <row r="186" spans="18:85" ht="16.5">
      <c r="R186" s="43"/>
      <c r="S186" s="43"/>
      <c r="T186" s="43"/>
      <c r="U186" s="43"/>
      <c r="V186" s="43"/>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row>
    <row r="187" spans="18:85" ht="16.5">
      <c r="R187" s="43"/>
      <c r="S187" s="43"/>
      <c r="T187" s="43"/>
      <c r="U187" s="43"/>
      <c r="V187" s="43"/>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row>
    <row r="188" spans="18:85" ht="16.5">
      <c r="R188" s="43"/>
      <c r="S188" s="43"/>
      <c r="T188" s="43"/>
      <c r="U188" s="43"/>
      <c r="V188" s="43"/>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row>
    <row r="189" spans="18:85" ht="16.5">
      <c r="R189" s="43"/>
      <c r="S189" s="43"/>
      <c r="T189" s="43"/>
      <c r="U189" s="43"/>
      <c r="V189" s="43"/>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row>
    <row r="190" spans="18:85" ht="16.5">
      <c r="R190" s="43"/>
      <c r="S190" s="43"/>
      <c r="T190" s="43"/>
      <c r="U190" s="43"/>
      <c r="V190" s="43"/>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row>
    <row r="191" spans="18:85" ht="16.5">
      <c r="R191" s="43"/>
      <c r="S191" s="43"/>
      <c r="T191" s="43"/>
      <c r="U191" s="43"/>
      <c r="V191" s="43"/>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row>
    <row r="192" spans="18:85" ht="16.5">
      <c r="R192" s="43"/>
      <c r="S192" s="43"/>
      <c r="T192" s="43"/>
      <c r="U192" s="43"/>
      <c r="V192" s="43"/>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row>
    <row r="193" spans="18:85" ht="16.5">
      <c r="R193" s="43"/>
      <c r="S193" s="43"/>
      <c r="T193" s="43"/>
      <c r="U193" s="43"/>
      <c r="V193" s="43"/>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row>
    <row r="194" spans="18:85" ht="16.5">
      <c r="R194" s="43"/>
      <c r="S194" s="43"/>
      <c r="T194" s="43"/>
      <c r="U194" s="43"/>
      <c r="V194" s="43"/>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row>
    <row r="195" spans="18:85" ht="16.5">
      <c r="R195" s="43"/>
      <c r="S195" s="43"/>
      <c r="T195" s="43"/>
      <c r="U195" s="43"/>
      <c r="V195" s="43"/>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row>
    <row r="196" spans="18:85" ht="16.5">
      <c r="R196" s="43"/>
      <c r="S196" s="43"/>
      <c r="T196" s="43"/>
      <c r="U196" s="43"/>
      <c r="V196" s="43"/>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row>
    <row r="197" spans="18:85" ht="16.5">
      <c r="R197" s="43"/>
      <c r="S197" s="43"/>
      <c r="T197" s="43"/>
      <c r="U197" s="43"/>
      <c r="V197" s="43"/>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row>
    <row r="198" spans="18:85" ht="16.5">
      <c r="R198" s="43"/>
      <c r="S198" s="43"/>
      <c r="T198" s="43"/>
      <c r="U198" s="43"/>
      <c r="V198" s="43"/>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row>
    <row r="199" spans="18:85" ht="16.5">
      <c r="R199" s="43"/>
      <c r="S199" s="43"/>
      <c r="T199" s="43"/>
      <c r="U199" s="43"/>
      <c r="V199" s="43"/>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row>
    <row r="200" spans="18:85" ht="16.5">
      <c r="R200" s="43"/>
      <c r="S200" s="43"/>
      <c r="T200" s="43"/>
      <c r="U200" s="43"/>
      <c r="V200" s="43"/>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row>
    <row r="201" spans="18:85" ht="16.5">
      <c r="R201" s="43"/>
      <c r="S201" s="43"/>
      <c r="T201" s="43"/>
      <c r="U201" s="43"/>
      <c r="V201" s="43"/>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row>
    <row r="202" spans="18:85" ht="16.5">
      <c r="R202" s="43"/>
      <c r="S202" s="43"/>
      <c r="T202" s="43"/>
      <c r="U202" s="43"/>
      <c r="V202" s="43"/>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row>
    <row r="203" spans="18:85" ht="16.5">
      <c r="R203" s="43"/>
      <c r="S203" s="43"/>
      <c r="T203" s="43"/>
      <c r="U203" s="43"/>
      <c r="V203" s="43"/>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row>
    <row r="204" spans="18:85" ht="16.5">
      <c r="R204" s="43"/>
      <c r="S204" s="43"/>
      <c r="T204" s="43"/>
      <c r="U204" s="43"/>
      <c r="V204" s="43"/>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row>
    <row r="205" spans="18:85" ht="16.5">
      <c r="R205" s="43"/>
      <c r="S205" s="43"/>
      <c r="T205" s="43"/>
      <c r="U205" s="43"/>
      <c r="V205" s="43"/>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row>
    <row r="206" spans="18:85" ht="16.5">
      <c r="R206" s="43"/>
      <c r="S206" s="43"/>
      <c r="T206" s="43"/>
      <c r="U206" s="43"/>
      <c r="V206" s="43"/>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row>
    <row r="207" spans="18:85" ht="16.5">
      <c r="R207" s="43"/>
      <c r="S207" s="43"/>
      <c r="T207" s="43"/>
      <c r="U207" s="43"/>
      <c r="V207" s="43"/>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row>
    <row r="208" spans="18:85" ht="16.5">
      <c r="R208" s="43"/>
      <c r="S208" s="43"/>
      <c r="T208" s="43"/>
      <c r="U208" s="43"/>
      <c r="V208" s="43"/>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row>
    <row r="209" spans="18:85" ht="16.5">
      <c r="R209" s="43"/>
      <c r="S209" s="43"/>
      <c r="T209" s="43"/>
      <c r="U209" s="43"/>
      <c r="V209" s="43"/>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row>
    <row r="210" spans="18:85" ht="16.5">
      <c r="R210" s="43"/>
      <c r="S210" s="43"/>
      <c r="T210" s="43"/>
      <c r="U210" s="43"/>
      <c r="V210" s="43"/>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row>
    <row r="211" spans="18:85" ht="16.5">
      <c r="R211" s="43"/>
      <c r="S211" s="43"/>
      <c r="T211" s="43"/>
      <c r="U211" s="43"/>
      <c r="V211" s="43"/>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row>
    <row r="212" spans="18:85" ht="16.5">
      <c r="R212" s="43"/>
      <c r="S212" s="43"/>
      <c r="T212" s="43"/>
      <c r="U212" s="43"/>
      <c r="V212" s="43"/>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row>
    <row r="213" spans="18:85" ht="16.5">
      <c r="R213" s="43"/>
      <c r="S213" s="43"/>
      <c r="T213" s="43"/>
      <c r="U213" s="43"/>
      <c r="V213" s="43"/>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row>
    <row r="214" spans="18:85" ht="16.5">
      <c r="R214" s="43"/>
      <c r="S214" s="43"/>
      <c r="T214" s="43"/>
      <c r="U214" s="43"/>
      <c r="V214" s="43"/>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row>
    <row r="215" spans="18:85" ht="16.5">
      <c r="R215" s="43"/>
      <c r="S215" s="43"/>
      <c r="T215" s="43"/>
      <c r="U215" s="43"/>
      <c r="V215" s="43"/>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row>
    <row r="216" spans="18:85" ht="16.5">
      <c r="R216" s="43"/>
      <c r="S216" s="43"/>
      <c r="T216" s="43"/>
      <c r="U216" s="43"/>
      <c r="V216" s="43"/>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row>
    <row r="217" spans="18:85" ht="16.5">
      <c r="R217" s="43"/>
      <c r="S217" s="43"/>
      <c r="T217" s="43"/>
      <c r="U217" s="43"/>
      <c r="V217" s="43"/>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row>
    <row r="218" spans="18:85" ht="16.5">
      <c r="R218" s="43"/>
      <c r="S218" s="43"/>
      <c r="T218" s="43"/>
      <c r="U218" s="43"/>
      <c r="V218" s="43"/>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row>
    <row r="219" spans="18:85" ht="16.5">
      <c r="R219" s="43"/>
      <c r="S219" s="43"/>
      <c r="T219" s="43"/>
      <c r="U219" s="43"/>
      <c r="V219" s="43"/>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row>
    <row r="220" spans="18:85" ht="16.5">
      <c r="R220" s="43"/>
      <c r="S220" s="43"/>
      <c r="T220" s="43"/>
      <c r="U220" s="43"/>
      <c r="V220" s="43"/>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row>
    <row r="221" spans="18:85" ht="16.5">
      <c r="R221" s="43"/>
      <c r="S221" s="43"/>
      <c r="T221" s="43"/>
      <c r="U221" s="43"/>
      <c r="V221" s="43"/>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row>
    <row r="222" spans="18:85" ht="16.5">
      <c r="R222" s="43"/>
      <c r="S222" s="43"/>
      <c r="T222" s="43"/>
      <c r="U222" s="43"/>
      <c r="V222" s="43"/>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row>
    <row r="223" spans="18:85" ht="16.5">
      <c r="R223" s="43"/>
      <c r="S223" s="43"/>
      <c r="T223" s="43"/>
      <c r="U223" s="43"/>
      <c r="V223" s="43"/>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row>
    <row r="224" spans="18:85" ht="16.5">
      <c r="R224" s="43"/>
      <c r="S224" s="43"/>
      <c r="T224" s="43"/>
      <c r="U224" s="43"/>
      <c r="V224" s="43"/>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row>
    <row r="225" spans="18:85" ht="16.5">
      <c r="R225" s="43"/>
      <c r="S225" s="43"/>
      <c r="T225" s="43"/>
      <c r="U225" s="43"/>
      <c r="V225" s="43"/>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row>
    <row r="226" spans="18:85" ht="16.5">
      <c r="R226" s="43"/>
      <c r="S226" s="43"/>
      <c r="T226" s="43"/>
      <c r="U226" s="43"/>
      <c r="V226" s="43"/>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row>
    <row r="227" spans="18:85" ht="16.5">
      <c r="R227" s="43"/>
      <c r="S227" s="43"/>
      <c r="T227" s="43"/>
      <c r="U227" s="43"/>
      <c r="V227" s="43"/>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row>
    <row r="228" spans="18:85" ht="16.5">
      <c r="R228" s="43"/>
      <c r="S228" s="43"/>
      <c r="T228" s="43"/>
      <c r="U228" s="43"/>
      <c r="V228" s="43"/>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row>
    <row r="229" spans="18:85" ht="16.5">
      <c r="R229" s="43"/>
      <c r="S229" s="43"/>
      <c r="T229" s="43"/>
      <c r="U229" s="43"/>
      <c r="V229" s="43"/>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row>
    <row r="230" spans="18:85" ht="16.5">
      <c r="R230" s="43"/>
      <c r="S230" s="43"/>
      <c r="T230" s="43"/>
      <c r="U230" s="43"/>
      <c r="V230" s="43"/>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row>
    <row r="231" spans="18:85" ht="16.5">
      <c r="R231" s="43"/>
      <c r="S231" s="43"/>
      <c r="T231" s="43"/>
      <c r="U231" s="43"/>
      <c r="V231" s="43"/>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row>
    <row r="232" spans="18:85" ht="16.5">
      <c r="R232" s="43"/>
      <c r="S232" s="43"/>
      <c r="T232" s="43"/>
      <c r="U232" s="43"/>
      <c r="V232" s="43"/>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row>
    <row r="233" spans="18:85" ht="16.5">
      <c r="R233" s="43"/>
      <c r="S233" s="43"/>
      <c r="T233" s="43"/>
      <c r="U233" s="43"/>
      <c r="V233" s="43"/>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row>
    <row r="234" spans="18:85" ht="16.5">
      <c r="R234" s="43"/>
      <c r="S234" s="43"/>
      <c r="T234" s="43"/>
      <c r="U234" s="43"/>
      <c r="V234" s="43"/>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row>
    <row r="235" spans="18:85" ht="16.5">
      <c r="R235" s="43"/>
      <c r="S235" s="43"/>
      <c r="T235" s="43"/>
      <c r="U235" s="43"/>
      <c r="V235" s="43"/>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row>
    <row r="236" spans="18:85" ht="16.5">
      <c r="R236" s="43"/>
      <c r="S236" s="43"/>
      <c r="T236" s="43"/>
      <c r="U236" s="43"/>
      <c r="V236" s="43"/>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row>
    <row r="237" spans="18:85" ht="16.5">
      <c r="R237" s="43"/>
      <c r="S237" s="43"/>
      <c r="T237" s="43"/>
      <c r="U237" s="43"/>
      <c r="V237" s="43"/>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row>
    <row r="238" spans="18:85" ht="16.5">
      <c r="R238" s="43"/>
      <c r="S238" s="43"/>
      <c r="T238" s="43"/>
      <c r="U238" s="43"/>
      <c r="V238" s="43"/>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row>
    <row r="239" spans="18:85" ht="16.5">
      <c r="R239" s="43"/>
      <c r="S239" s="43"/>
      <c r="T239" s="43"/>
      <c r="U239" s="43"/>
      <c r="V239" s="43"/>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row>
    <row r="240" spans="18:85" ht="16.5">
      <c r="R240" s="43"/>
      <c r="S240" s="43"/>
      <c r="T240" s="43"/>
      <c r="U240" s="43"/>
      <c r="V240" s="43"/>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row>
    <row r="241" spans="18:85" ht="16.5">
      <c r="R241" s="43"/>
      <c r="S241" s="43"/>
      <c r="T241" s="43"/>
      <c r="U241" s="43"/>
      <c r="V241" s="43"/>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row>
    <row r="242" spans="18:85" ht="16.5">
      <c r="R242" s="43"/>
      <c r="S242" s="43"/>
      <c r="T242" s="43"/>
      <c r="U242" s="43"/>
      <c r="V242" s="43"/>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row>
    <row r="243" spans="18:85" ht="16.5">
      <c r="R243" s="43"/>
      <c r="S243" s="43"/>
      <c r="T243" s="43"/>
      <c r="U243" s="43"/>
      <c r="V243" s="43"/>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row>
    <row r="244" spans="18:85" ht="16.5">
      <c r="R244" s="43"/>
      <c r="S244" s="43"/>
      <c r="T244" s="43"/>
      <c r="U244" s="43"/>
      <c r="V244" s="43"/>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row>
    <row r="245" spans="18:85" ht="16.5">
      <c r="R245" s="43"/>
      <c r="S245" s="43"/>
      <c r="T245" s="43"/>
      <c r="U245" s="43"/>
      <c r="V245" s="43"/>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row>
    <row r="246" spans="18:85" ht="16.5">
      <c r="R246" s="43"/>
      <c r="S246" s="43"/>
      <c r="T246" s="43"/>
      <c r="U246" s="43"/>
      <c r="V246" s="43"/>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row>
    <row r="247" spans="18:85" ht="16.5">
      <c r="R247" s="43"/>
      <c r="S247" s="43"/>
      <c r="T247" s="43"/>
      <c r="U247" s="43"/>
      <c r="V247" s="43"/>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row>
    <row r="248" spans="18:85" ht="16.5">
      <c r="R248" s="43"/>
      <c r="S248" s="43"/>
      <c r="T248" s="43"/>
      <c r="U248" s="43"/>
      <c r="V248" s="43"/>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row>
    <row r="249" spans="18:85" ht="16.5">
      <c r="R249" s="43"/>
      <c r="S249" s="43"/>
      <c r="T249" s="43"/>
      <c r="U249" s="43"/>
      <c r="V249" s="43"/>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row>
    <row r="250" spans="18:85" ht="16.5">
      <c r="R250" s="43"/>
      <c r="S250" s="43"/>
      <c r="T250" s="43"/>
      <c r="U250" s="43"/>
      <c r="V250" s="43"/>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row>
    <row r="251" spans="18:85" ht="16.5">
      <c r="R251" s="43"/>
      <c r="S251" s="43"/>
      <c r="T251" s="43"/>
      <c r="U251" s="43"/>
      <c r="V251" s="43"/>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row>
    <row r="252" spans="18:85" ht="16.5">
      <c r="R252" s="43"/>
      <c r="S252" s="43"/>
      <c r="T252" s="43"/>
      <c r="U252" s="43"/>
      <c r="V252" s="43"/>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row>
    <row r="253" spans="18:85" ht="16.5">
      <c r="R253" s="43"/>
      <c r="S253" s="43"/>
      <c r="T253" s="43"/>
      <c r="U253" s="43"/>
      <c r="V253" s="43"/>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row>
    <row r="254" spans="18:85" ht="16.5">
      <c r="R254" s="43"/>
      <c r="S254" s="43"/>
      <c r="T254" s="43"/>
      <c r="U254" s="43"/>
      <c r="V254" s="43"/>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row>
    <row r="255" spans="18:85" ht="16.5">
      <c r="R255" s="43"/>
      <c r="S255" s="43"/>
      <c r="T255" s="43"/>
      <c r="U255" s="43"/>
      <c r="V255" s="43"/>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row>
    <row r="256" spans="18:85" ht="16.5">
      <c r="R256" s="43"/>
      <c r="S256" s="43"/>
      <c r="T256" s="43"/>
      <c r="U256" s="43"/>
      <c r="V256" s="43"/>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row>
    <row r="257" spans="18:85" ht="16.5">
      <c r="R257" s="43"/>
      <c r="S257" s="43"/>
      <c r="T257" s="43"/>
      <c r="U257" s="43"/>
      <c r="V257" s="43"/>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row>
    <row r="258" spans="18:85" ht="16.5">
      <c r="R258" s="43"/>
      <c r="S258" s="43"/>
      <c r="T258" s="43"/>
      <c r="U258" s="43"/>
      <c r="V258" s="43"/>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row>
    <row r="259" spans="18:85" ht="16.5">
      <c r="R259" s="43"/>
      <c r="S259" s="43"/>
      <c r="T259" s="43"/>
      <c r="U259" s="43"/>
      <c r="V259" s="43"/>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row>
    <row r="260" spans="18:85" ht="16.5">
      <c r="R260" s="43"/>
      <c r="S260" s="43"/>
      <c r="T260" s="43"/>
      <c r="U260" s="43"/>
      <c r="V260" s="43"/>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row>
    <row r="261" spans="18:85" ht="16.5">
      <c r="R261" s="43"/>
      <c r="S261" s="43"/>
      <c r="T261" s="43"/>
      <c r="U261" s="43"/>
      <c r="V261" s="43"/>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row>
    <row r="262" spans="18:85" ht="16.5">
      <c r="R262" s="43"/>
      <c r="S262" s="43"/>
      <c r="T262" s="43"/>
      <c r="U262" s="43"/>
      <c r="V262" s="43"/>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row>
    <row r="263" spans="18:85" ht="16.5">
      <c r="R263" s="43"/>
      <c r="S263" s="43"/>
      <c r="T263" s="43"/>
      <c r="U263" s="43"/>
      <c r="V263" s="43"/>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row>
    <row r="264" spans="18:85" ht="16.5">
      <c r="R264" s="43"/>
      <c r="S264" s="43"/>
      <c r="T264" s="43"/>
      <c r="U264" s="43"/>
      <c r="V264" s="43"/>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row>
    <row r="265" spans="18:85" ht="16.5">
      <c r="R265" s="43"/>
      <c r="S265" s="43"/>
      <c r="T265" s="43"/>
      <c r="U265" s="43"/>
      <c r="V265" s="43"/>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row>
    <row r="266" spans="18:85" ht="16.5">
      <c r="R266" s="43"/>
      <c r="S266" s="43"/>
      <c r="T266" s="43"/>
      <c r="U266" s="43"/>
      <c r="V266" s="43"/>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row>
    <row r="267" spans="18:85" ht="16.5">
      <c r="R267" s="43"/>
      <c r="S267" s="43"/>
      <c r="T267" s="43"/>
      <c r="U267" s="43"/>
      <c r="V267" s="43"/>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row>
    <row r="268" spans="18:85" ht="16.5">
      <c r="R268" s="43"/>
      <c r="S268" s="43"/>
      <c r="T268" s="43"/>
      <c r="U268" s="43"/>
      <c r="V268" s="43"/>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row>
    <row r="269" spans="18:85" ht="16.5">
      <c r="R269" s="43"/>
      <c r="S269" s="43"/>
      <c r="T269" s="43"/>
      <c r="U269" s="43"/>
      <c r="V269" s="43"/>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row>
    <row r="270" spans="18:85" ht="16.5">
      <c r="R270" s="43"/>
      <c r="S270" s="43"/>
      <c r="T270" s="43"/>
      <c r="U270" s="43"/>
      <c r="V270" s="43"/>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row>
    <row r="271" spans="18:85" ht="16.5">
      <c r="R271" s="43"/>
      <c r="S271" s="43"/>
      <c r="T271" s="43"/>
      <c r="U271" s="43"/>
      <c r="V271" s="43"/>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row>
    <row r="272" spans="18:85" ht="16.5">
      <c r="R272" s="43"/>
      <c r="S272" s="43"/>
      <c r="T272" s="43"/>
      <c r="U272" s="43"/>
      <c r="V272" s="43"/>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row>
    <row r="273" spans="18:85" ht="16.5">
      <c r="R273" s="43"/>
      <c r="S273" s="43"/>
      <c r="T273" s="43"/>
      <c r="U273" s="43"/>
      <c r="V273" s="43"/>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row>
    <row r="274" spans="18:85" ht="16.5">
      <c r="R274" s="43"/>
      <c r="S274" s="43"/>
      <c r="T274" s="43"/>
      <c r="U274" s="43"/>
      <c r="V274" s="43"/>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row>
    <row r="275" spans="18:85" ht="16.5">
      <c r="R275" s="43"/>
      <c r="S275" s="43"/>
      <c r="T275" s="43"/>
      <c r="U275" s="43"/>
      <c r="V275" s="43"/>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row>
    <row r="276" spans="18:85" ht="16.5">
      <c r="R276" s="43"/>
      <c r="S276" s="43"/>
      <c r="T276" s="43"/>
      <c r="U276" s="43"/>
      <c r="V276" s="43"/>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row>
    <row r="277" spans="18:85" ht="16.5">
      <c r="R277" s="43"/>
      <c r="S277" s="43"/>
      <c r="T277" s="43"/>
      <c r="U277" s="43"/>
      <c r="V277" s="43"/>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row>
    <row r="278" spans="18:85" ht="16.5">
      <c r="R278" s="43"/>
      <c r="S278" s="43"/>
      <c r="T278" s="43"/>
      <c r="U278" s="43"/>
      <c r="V278" s="43"/>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row>
    <row r="279" spans="18:85" ht="16.5">
      <c r="R279" s="43"/>
      <c r="S279" s="43"/>
      <c r="T279" s="43"/>
      <c r="U279" s="43"/>
      <c r="V279" s="43"/>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row>
    <row r="280" spans="18:85" ht="16.5">
      <c r="R280" s="43"/>
      <c r="S280" s="43"/>
      <c r="T280" s="43"/>
      <c r="U280" s="43"/>
      <c r="V280" s="43"/>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row>
    <row r="281" spans="18:85" ht="16.5">
      <c r="R281" s="43"/>
      <c r="S281" s="43"/>
      <c r="T281" s="43"/>
      <c r="U281" s="43"/>
      <c r="V281" s="43"/>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row>
  </sheetData>
  <sheetProtection/>
  <mergeCells count="1">
    <mergeCell ref="A4:A14"/>
  </mergeCells>
  <printOptions horizontalCentered="1" verticalCentered="1"/>
  <pageMargins left="0.15748031496062992" right="0.15748031496062992" top="0.1968503937007874" bottom="0.1968503937007874" header="0.5118110236220472" footer="0.5118110236220472"/>
  <pageSetup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AA110"/>
  <sheetViews>
    <sheetView view="pageBreakPreview" zoomScaleSheetLayoutView="100" zoomScalePageLayoutView="0" workbookViewId="0" topLeftCell="A13">
      <selection activeCell="V32" sqref="V32"/>
    </sheetView>
  </sheetViews>
  <sheetFormatPr defaultColWidth="9.00390625" defaultRowHeight="16.5"/>
  <cols>
    <col min="1" max="1" width="4.125" style="205" customWidth="1"/>
    <col min="2" max="2" width="4.875" style="205" bestFit="1" customWidth="1"/>
    <col min="3" max="3" width="8.875" style="205" customWidth="1"/>
    <col min="4" max="4" width="4.625" style="205" hidden="1" customWidth="1"/>
    <col min="5" max="6" width="8.25390625" style="205" customWidth="1"/>
    <col min="7" max="19" width="7.00390625" style="205" customWidth="1"/>
    <col min="20" max="16384" width="9.00390625" style="205" customWidth="1"/>
  </cols>
  <sheetData>
    <row r="1" spans="1:19" s="41" customFormat="1" ht="24.75" customHeight="1">
      <c r="A1" s="508" t="s">
        <v>335</v>
      </c>
      <c r="B1" s="508"/>
      <c r="C1" s="508"/>
      <c r="D1" s="508"/>
      <c r="E1" s="508"/>
      <c r="F1" s="508"/>
      <c r="G1" s="508"/>
      <c r="H1" s="508"/>
      <c r="I1" s="508"/>
      <c r="J1" s="508"/>
      <c r="K1" s="508"/>
      <c r="L1" s="508"/>
      <c r="M1" s="508"/>
      <c r="N1" s="508"/>
      <c r="O1" s="508"/>
      <c r="P1" s="508"/>
      <c r="Q1" s="508"/>
      <c r="R1" s="508"/>
      <c r="S1" s="508"/>
    </row>
    <row r="2" spans="1:19" s="41" customFormat="1" ht="7.5" customHeight="1">
      <c r="A2" s="73"/>
      <c r="B2" s="73"/>
      <c r="C2" s="73"/>
      <c r="D2" s="73"/>
      <c r="E2" s="73"/>
      <c r="F2" s="73"/>
      <c r="G2" s="73"/>
      <c r="H2" s="73"/>
      <c r="I2" s="73"/>
      <c r="J2" s="73"/>
      <c r="K2" s="73"/>
      <c r="L2" s="183"/>
      <c r="M2" s="73"/>
      <c r="N2" s="73"/>
      <c r="O2" s="73"/>
      <c r="P2" s="73"/>
      <c r="Q2" s="73"/>
      <c r="R2" s="73"/>
      <c r="S2" s="73"/>
    </row>
    <row r="3" spans="1:19" s="41" customFormat="1" ht="15" customHeight="1" thickBot="1">
      <c r="A3" s="184"/>
      <c r="B3" s="185"/>
      <c r="C3" s="185"/>
      <c r="D3" s="186"/>
      <c r="E3" s="185"/>
      <c r="F3" s="185"/>
      <c r="G3" s="185"/>
      <c r="H3" s="185"/>
      <c r="I3" s="185"/>
      <c r="J3" s="187"/>
      <c r="K3" s="187"/>
      <c r="L3" s="187"/>
      <c r="M3" s="187"/>
      <c r="N3" s="43"/>
      <c r="O3" s="188"/>
      <c r="P3" s="185"/>
      <c r="Q3" s="187"/>
      <c r="R3" s="254" t="s">
        <v>229</v>
      </c>
      <c r="S3" s="189"/>
    </row>
    <row r="4" spans="1:27" s="192" customFormat="1" ht="14.25" customHeight="1">
      <c r="A4" s="190"/>
      <c r="B4" s="47"/>
      <c r="C4" s="191"/>
      <c r="D4" s="47" t="s">
        <v>28</v>
      </c>
      <c r="E4" s="48"/>
      <c r="F4" s="49" t="s">
        <v>29</v>
      </c>
      <c r="G4" s="49"/>
      <c r="H4" s="49"/>
      <c r="I4" s="49"/>
      <c r="J4" s="49"/>
      <c r="K4" s="49"/>
      <c r="L4" s="49" t="s">
        <v>147</v>
      </c>
      <c r="M4" s="49"/>
      <c r="N4" s="49"/>
      <c r="O4" s="49"/>
      <c r="P4" s="49"/>
      <c r="Q4" s="49"/>
      <c r="R4" s="49" t="s">
        <v>31</v>
      </c>
      <c r="S4" s="49"/>
      <c r="T4" s="53"/>
      <c r="U4" s="53"/>
      <c r="V4" s="53"/>
      <c r="W4" s="53"/>
      <c r="X4" s="53"/>
      <c r="Y4" s="53"/>
      <c r="Z4" s="53"/>
      <c r="AA4" s="53"/>
    </row>
    <row r="5" spans="1:27" s="192" customFormat="1" ht="14.25" customHeight="1">
      <c r="A5" s="193"/>
      <c r="B5" s="53"/>
      <c r="C5" s="194"/>
      <c r="D5" s="53" t="s">
        <v>30</v>
      </c>
      <c r="E5" s="54" t="s">
        <v>0</v>
      </c>
      <c r="F5" s="55" t="s">
        <v>30</v>
      </c>
      <c r="G5" s="56"/>
      <c r="H5" s="56" t="s">
        <v>179</v>
      </c>
      <c r="I5" s="56"/>
      <c r="J5" s="56"/>
      <c r="K5" s="56"/>
      <c r="L5" s="56"/>
      <c r="M5" s="56" t="s">
        <v>145</v>
      </c>
      <c r="N5" s="56"/>
      <c r="O5" s="54" t="s">
        <v>32</v>
      </c>
      <c r="P5" s="54" t="s">
        <v>33</v>
      </c>
      <c r="Q5" s="54" t="s">
        <v>32</v>
      </c>
      <c r="R5" s="58" t="s">
        <v>2</v>
      </c>
      <c r="S5" s="219" t="s">
        <v>3</v>
      </c>
      <c r="T5" s="53"/>
      <c r="U5" s="53"/>
      <c r="V5" s="53"/>
      <c r="W5" s="53"/>
      <c r="X5" s="53"/>
      <c r="Y5" s="53"/>
      <c r="Z5" s="53"/>
      <c r="AA5" s="53"/>
    </row>
    <row r="6" spans="1:27" s="192" customFormat="1" ht="14.25" customHeight="1">
      <c r="A6" s="193"/>
      <c r="B6" s="53"/>
      <c r="C6" s="194"/>
      <c r="D6" s="53"/>
      <c r="E6" s="54"/>
      <c r="F6" s="59"/>
      <c r="G6" s="59" t="s">
        <v>38</v>
      </c>
      <c r="H6" s="59" t="s">
        <v>33</v>
      </c>
      <c r="I6" s="232" t="s">
        <v>196</v>
      </c>
      <c r="J6" s="233" t="s">
        <v>197</v>
      </c>
      <c r="K6" s="233" t="s">
        <v>198</v>
      </c>
      <c r="L6" s="234" t="s">
        <v>145</v>
      </c>
      <c r="M6" s="59" t="s">
        <v>36</v>
      </c>
      <c r="N6" s="59" t="s">
        <v>37</v>
      </c>
      <c r="O6" s="54"/>
      <c r="P6" s="54"/>
      <c r="Q6" s="54"/>
      <c r="R6" s="58"/>
      <c r="S6" s="54"/>
      <c r="T6" s="53"/>
      <c r="U6" s="53"/>
      <c r="V6" s="53"/>
      <c r="W6" s="53"/>
      <c r="X6" s="53"/>
      <c r="Y6" s="53"/>
      <c r="Z6" s="53"/>
      <c r="AA6" s="53"/>
    </row>
    <row r="7" spans="1:27" s="192" customFormat="1" ht="14.25" customHeight="1">
      <c r="A7" s="193"/>
      <c r="B7" s="53"/>
      <c r="C7" s="194"/>
      <c r="D7" s="53"/>
      <c r="E7" s="54"/>
      <c r="F7" s="58"/>
      <c r="G7" s="58"/>
      <c r="H7" s="58"/>
      <c r="I7" s="53" t="s">
        <v>173</v>
      </c>
      <c r="J7" s="54" t="s">
        <v>35</v>
      </c>
      <c r="K7" s="54" t="s">
        <v>34</v>
      </c>
      <c r="L7" s="58" t="s">
        <v>109</v>
      </c>
      <c r="M7" s="54"/>
      <c r="N7" s="54"/>
      <c r="O7" s="54"/>
      <c r="P7" s="54"/>
      <c r="Q7" s="54"/>
      <c r="R7" s="58"/>
      <c r="S7" s="54"/>
      <c r="T7" s="53"/>
      <c r="U7" s="53"/>
      <c r="V7" s="53"/>
      <c r="W7" s="53"/>
      <c r="X7" s="53"/>
      <c r="Y7" s="53"/>
      <c r="Z7" s="53"/>
      <c r="AA7" s="53"/>
    </row>
    <row r="8" spans="1:27" s="192" customFormat="1" ht="14.25" customHeight="1">
      <c r="A8" s="193"/>
      <c r="B8" s="53"/>
      <c r="C8" s="194"/>
      <c r="D8" s="53"/>
      <c r="E8" s="54"/>
      <c r="F8" s="54"/>
      <c r="G8" s="54"/>
      <c r="H8" s="54"/>
      <c r="I8" s="54"/>
      <c r="J8" s="54" t="s">
        <v>40</v>
      </c>
      <c r="K8" s="54" t="s">
        <v>41</v>
      </c>
      <c r="L8" s="58"/>
      <c r="M8" s="54"/>
      <c r="N8" s="54"/>
      <c r="O8" s="54"/>
      <c r="P8" s="54"/>
      <c r="Q8" s="54"/>
      <c r="R8" s="58"/>
      <c r="S8" s="54"/>
      <c r="T8" s="53"/>
      <c r="U8" s="53"/>
      <c r="V8" s="53"/>
      <c r="W8" s="53"/>
      <c r="X8" s="53"/>
      <c r="Y8" s="53"/>
      <c r="Z8" s="53"/>
      <c r="AA8" s="53"/>
    </row>
    <row r="9" spans="1:27" s="192" customFormat="1" ht="14.25" customHeight="1">
      <c r="A9" s="509"/>
      <c r="B9" s="509"/>
      <c r="C9" s="510"/>
      <c r="D9" s="53"/>
      <c r="E9" s="54"/>
      <c r="F9" s="54"/>
      <c r="G9" s="54"/>
      <c r="H9" s="54" t="s">
        <v>43</v>
      </c>
      <c r="I9" s="54" t="s">
        <v>174</v>
      </c>
      <c r="J9" s="54" t="s">
        <v>39</v>
      </c>
      <c r="K9" s="54" t="s">
        <v>42</v>
      </c>
      <c r="L9" s="58" t="s">
        <v>199</v>
      </c>
      <c r="M9" s="54"/>
      <c r="N9" s="54"/>
      <c r="O9" s="54"/>
      <c r="P9" s="54"/>
      <c r="Q9" s="54"/>
      <c r="R9" s="58" t="s">
        <v>44</v>
      </c>
      <c r="S9" s="54"/>
      <c r="T9" s="53"/>
      <c r="U9" s="53"/>
      <c r="V9" s="53"/>
      <c r="W9" s="53"/>
      <c r="X9" s="53"/>
      <c r="Y9" s="53"/>
      <c r="Z9" s="53"/>
      <c r="AA9" s="53"/>
    </row>
    <row r="10" spans="1:27" s="192" customFormat="1" ht="14.25" customHeight="1">
      <c r="A10" s="193"/>
      <c r="B10" s="53"/>
      <c r="C10" s="194"/>
      <c r="D10" s="53"/>
      <c r="E10" s="54"/>
      <c r="F10" s="54" t="s">
        <v>8</v>
      </c>
      <c r="G10" s="54"/>
      <c r="H10" s="54"/>
      <c r="I10" s="54"/>
      <c r="J10" s="54"/>
      <c r="K10" s="54" t="s">
        <v>45</v>
      </c>
      <c r="L10" s="58"/>
      <c r="M10" s="54"/>
      <c r="N10" s="54"/>
      <c r="O10" s="54"/>
      <c r="P10" s="54"/>
      <c r="Q10" s="54"/>
      <c r="R10" s="58"/>
      <c r="S10" s="54"/>
      <c r="T10" s="53"/>
      <c r="U10" s="53"/>
      <c r="V10" s="53"/>
      <c r="W10" s="53"/>
      <c r="X10" s="53"/>
      <c r="Y10" s="53"/>
      <c r="Z10" s="53"/>
      <c r="AA10" s="53"/>
    </row>
    <row r="11" spans="1:27" s="192" customFormat="1" ht="14.25" customHeight="1">
      <c r="A11" s="193"/>
      <c r="B11" s="53"/>
      <c r="C11" s="194"/>
      <c r="D11" s="53"/>
      <c r="E11" s="54"/>
      <c r="F11" s="54"/>
      <c r="G11" s="54"/>
      <c r="H11" s="54"/>
      <c r="I11" s="54" t="s">
        <v>175</v>
      </c>
      <c r="J11" s="54" t="s">
        <v>113</v>
      </c>
      <c r="K11" s="54" t="s">
        <v>74</v>
      </c>
      <c r="L11" s="58" t="s">
        <v>175</v>
      </c>
      <c r="M11" s="54"/>
      <c r="N11" s="54"/>
      <c r="O11" s="54"/>
      <c r="P11" s="54"/>
      <c r="Q11" s="54"/>
      <c r="R11" s="58"/>
      <c r="S11" s="54"/>
      <c r="T11" s="53"/>
      <c r="U11" s="53"/>
      <c r="V11" s="53"/>
      <c r="W11" s="53"/>
      <c r="X11" s="53"/>
      <c r="Y11" s="53"/>
      <c r="Z11" s="53"/>
      <c r="AA11" s="53"/>
    </row>
    <row r="12" spans="1:27" s="192" customFormat="1" ht="14.25" customHeight="1">
      <c r="A12" s="193"/>
      <c r="B12" s="53"/>
      <c r="C12" s="194"/>
      <c r="D12" s="53"/>
      <c r="E12" s="54"/>
      <c r="F12" s="54"/>
      <c r="G12" s="54"/>
      <c r="H12" s="54" t="s">
        <v>47</v>
      </c>
      <c r="I12" s="54"/>
      <c r="J12" s="54" t="s">
        <v>41</v>
      </c>
      <c r="K12" s="54" t="s">
        <v>41</v>
      </c>
      <c r="L12" s="58"/>
      <c r="M12" s="54"/>
      <c r="N12" s="54"/>
      <c r="O12" s="54"/>
      <c r="P12" s="54"/>
      <c r="Q12" s="54"/>
      <c r="R12" s="58"/>
      <c r="S12" s="54"/>
      <c r="T12" s="53"/>
      <c r="U12" s="53"/>
      <c r="V12" s="53"/>
      <c r="W12" s="53"/>
      <c r="X12" s="53"/>
      <c r="Y12" s="53"/>
      <c r="Z12" s="53"/>
      <c r="AA12" s="53"/>
    </row>
    <row r="13" spans="1:27" s="192" customFormat="1" ht="14.25" customHeight="1">
      <c r="A13" s="193"/>
      <c r="B13" s="53"/>
      <c r="C13" s="194"/>
      <c r="D13" s="53"/>
      <c r="E13" s="54"/>
      <c r="F13" s="54"/>
      <c r="G13" s="54"/>
      <c r="H13" s="54"/>
      <c r="I13" s="54"/>
      <c r="J13" s="54" t="s">
        <v>46</v>
      </c>
      <c r="K13" s="54" t="s">
        <v>46</v>
      </c>
      <c r="L13" s="58"/>
      <c r="M13" s="54"/>
      <c r="N13" s="54"/>
      <c r="O13" s="54"/>
      <c r="P13" s="54"/>
      <c r="Q13" s="54"/>
      <c r="R13" s="58"/>
      <c r="S13" s="54"/>
      <c r="T13" s="53"/>
      <c r="U13" s="53"/>
      <c r="V13" s="53"/>
      <c r="W13" s="53"/>
      <c r="X13" s="53"/>
      <c r="Y13" s="53"/>
      <c r="Z13" s="53"/>
      <c r="AA13" s="53"/>
    </row>
    <row r="14" spans="1:27" s="192" customFormat="1" ht="14.25" customHeight="1" thickBot="1">
      <c r="A14" s="193"/>
      <c r="B14" s="195"/>
      <c r="C14" s="196"/>
      <c r="D14" s="195" t="s">
        <v>31</v>
      </c>
      <c r="E14" s="197" t="s">
        <v>8</v>
      </c>
      <c r="F14" s="197"/>
      <c r="G14" s="197" t="s">
        <v>52</v>
      </c>
      <c r="H14" s="197" t="s">
        <v>52</v>
      </c>
      <c r="I14" s="198" t="s">
        <v>49</v>
      </c>
      <c r="J14" s="197" t="s">
        <v>48</v>
      </c>
      <c r="K14" s="197" t="s">
        <v>48</v>
      </c>
      <c r="L14" s="126" t="s">
        <v>200</v>
      </c>
      <c r="M14" s="197" t="s">
        <v>50</v>
      </c>
      <c r="N14" s="197" t="s">
        <v>51</v>
      </c>
      <c r="O14" s="197" t="s">
        <v>52</v>
      </c>
      <c r="P14" s="197" t="s">
        <v>53</v>
      </c>
      <c r="Q14" s="197" t="s">
        <v>54</v>
      </c>
      <c r="R14" s="126" t="s">
        <v>55</v>
      </c>
      <c r="S14" s="197" t="s">
        <v>10</v>
      </c>
      <c r="T14" s="53"/>
      <c r="U14" s="53"/>
      <c r="V14" s="53"/>
      <c r="W14" s="53"/>
      <c r="X14" s="53"/>
      <c r="Y14" s="53"/>
      <c r="Z14" s="53"/>
      <c r="AA14" s="53"/>
    </row>
    <row r="15" spans="1:19" s="200" customFormat="1" ht="24.75" customHeight="1">
      <c r="A15" s="239"/>
      <c r="B15" s="276" t="s">
        <v>205</v>
      </c>
      <c r="C15" s="279"/>
      <c r="D15" s="199"/>
      <c r="E15" s="199"/>
      <c r="F15" s="199"/>
      <c r="G15" s="199"/>
      <c r="H15" s="199"/>
      <c r="I15" s="199"/>
      <c r="J15" s="199"/>
      <c r="K15" s="199"/>
      <c r="L15" s="199"/>
      <c r="M15" s="199"/>
      <c r="N15" s="199"/>
      <c r="O15" s="199"/>
      <c r="P15" s="199"/>
      <c r="Q15" s="199"/>
      <c r="R15" s="199"/>
      <c r="S15" s="199"/>
    </row>
    <row r="16" spans="1:19" s="200" customFormat="1" ht="24.75" customHeight="1" hidden="1">
      <c r="A16" s="207"/>
      <c r="B16" s="280"/>
      <c r="C16" s="281" t="s">
        <v>164</v>
      </c>
      <c r="D16" s="201">
        <v>399</v>
      </c>
      <c r="E16" s="199">
        <v>982</v>
      </c>
      <c r="F16" s="199">
        <v>222</v>
      </c>
      <c r="G16" s="199">
        <v>0</v>
      </c>
      <c r="H16" s="199">
        <v>13</v>
      </c>
      <c r="I16" s="199">
        <v>25</v>
      </c>
      <c r="J16" s="199">
        <v>69</v>
      </c>
      <c r="K16" s="199">
        <v>29</v>
      </c>
      <c r="L16" s="199">
        <v>57</v>
      </c>
      <c r="M16" s="202">
        <v>0</v>
      </c>
      <c r="N16" s="202">
        <v>0</v>
      </c>
      <c r="O16" s="202">
        <v>5</v>
      </c>
      <c r="P16" s="202">
        <v>326</v>
      </c>
      <c r="Q16" s="199">
        <v>5</v>
      </c>
      <c r="R16" s="202">
        <v>300</v>
      </c>
      <c r="S16" s="199">
        <v>29</v>
      </c>
    </row>
    <row r="17" spans="1:19" s="200" customFormat="1" ht="24.75" customHeight="1" hidden="1">
      <c r="A17" s="207"/>
      <c r="B17" s="280"/>
      <c r="C17" s="281" t="s">
        <v>177</v>
      </c>
      <c r="D17" s="201">
        <v>375</v>
      </c>
      <c r="E17" s="199">
        <v>660</v>
      </c>
      <c r="F17" s="199">
        <v>141</v>
      </c>
      <c r="G17" s="199">
        <v>0</v>
      </c>
      <c r="H17" s="199">
        <v>0</v>
      </c>
      <c r="I17" s="199">
        <v>9</v>
      </c>
      <c r="J17" s="199">
        <v>4</v>
      </c>
      <c r="K17" s="199">
        <v>32</v>
      </c>
      <c r="L17" s="199">
        <v>60</v>
      </c>
      <c r="M17" s="202">
        <v>0</v>
      </c>
      <c r="N17" s="202">
        <v>0</v>
      </c>
      <c r="O17" s="202">
        <v>2</v>
      </c>
      <c r="P17" s="202">
        <v>279</v>
      </c>
      <c r="Q17" s="199">
        <v>1</v>
      </c>
      <c r="R17" s="202">
        <v>215</v>
      </c>
      <c r="S17" s="199">
        <v>22</v>
      </c>
    </row>
    <row r="18" spans="1:19" s="200" customFormat="1" ht="24.75" customHeight="1" hidden="1">
      <c r="A18" s="207"/>
      <c r="B18" s="280"/>
      <c r="C18" s="282" t="s">
        <v>178</v>
      </c>
      <c r="D18" s="201">
        <v>376</v>
      </c>
      <c r="E18" s="199">
        <v>733</v>
      </c>
      <c r="F18" s="199">
        <v>142</v>
      </c>
      <c r="G18" s="199">
        <v>0</v>
      </c>
      <c r="H18" s="199">
        <v>0</v>
      </c>
      <c r="I18" s="199">
        <v>7</v>
      </c>
      <c r="J18" s="199">
        <v>55</v>
      </c>
      <c r="K18" s="199">
        <v>22</v>
      </c>
      <c r="L18" s="199">
        <v>58</v>
      </c>
      <c r="M18" s="202">
        <v>0</v>
      </c>
      <c r="N18" s="202">
        <v>0</v>
      </c>
      <c r="O18" s="202">
        <v>8</v>
      </c>
      <c r="P18" s="202">
        <v>330</v>
      </c>
      <c r="Q18" s="199">
        <v>3</v>
      </c>
      <c r="R18" s="202">
        <v>232</v>
      </c>
      <c r="S18" s="199">
        <v>18</v>
      </c>
    </row>
    <row r="19" spans="1:19" s="200" customFormat="1" ht="24.75" customHeight="1" hidden="1">
      <c r="A19" s="207"/>
      <c r="B19" s="280"/>
      <c r="C19" s="277" t="s">
        <v>294</v>
      </c>
      <c r="D19" s="203">
        <v>438</v>
      </c>
      <c r="E19" s="203">
        <v>1195</v>
      </c>
      <c r="F19" s="203">
        <v>408</v>
      </c>
      <c r="G19" s="203">
        <v>0</v>
      </c>
      <c r="H19" s="203">
        <v>0</v>
      </c>
      <c r="I19" s="203">
        <v>13</v>
      </c>
      <c r="J19" s="203">
        <v>284</v>
      </c>
      <c r="K19" s="203">
        <v>44</v>
      </c>
      <c r="L19" s="203">
        <v>67</v>
      </c>
      <c r="M19" s="203">
        <v>0</v>
      </c>
      <c r="N19" s="203">
        <v>0</v>
      </c>
      <c r="O19" s="203">
        <v>14</v>
      </c>
      <c r="P19" s="203">
        <v>416</v>
      </c>
      <c r="Q19" s="203">
        <v>20</v>
      </c>
      <c r="R19" s="203">
        <v>320</v>
      </c>
      <c r="S19" s="203">
        <v>17</v>
      </c>
    </row>
    <row r="20" spans="1:19" s="200" customFormat="1" ht="24.75" customHeight="1" hidden="1">
      <c r="A20" s="207"/>
      <c r="B20" s="280"/>
      <c r="C20" s="277" t="s">
        <v>295</v>
      </c>
      <c r="D20" s="203">
        <v>468</v>
      </c>
      <c r="E20" s="203">
        <v>952</v>
      </c>
      <c r="F20" s="203">
        <v>181</v>
      </c>
      <c r="G20" s="203">
        <v>0</v>
      </c>
      <c r="H20" s="203">
        <v>0</v>
      </c>
      <c r="I20" s="203">
        <v>15</v>
      </c>
      <c r="J20" s="203">
        <v>47</v>
      </c>
      <c r="K20" s="203">
        <v>51</v>
      </c>
      <c r="L20" s="203">
        <v>68</v>
      </c>
      <c r="M20" s="203">
        <v>0</v>
      </c>
      <c r="N20" s="203">
        <v>0</v>
      </c>
      <c r="O20" s="203">
        <v>9</v>
      </c>
      <c r="P20" s="203">
        <v>467</v>
      </c>
      <c r="Q20" s="203">
        <v>7</v>
      </c>
      <c r="R20" s="203">
        <v>278</v>
      </c>
      <c r="S20" s="203">
        <v>10</v>
      </c>
    </row>
    <row r="21" spans="1:19" s="200" customFormat="1" ht="24.75" customHeight="1" hidden="1">
      <c r="A21" s="207"/>
      <c r="B21" s="280"/>
      <c r="C21" s="277" t="s">
        <v>296</v>
      </c>
      <c r="D21" s="203">
        <v>525</v>
      </c>
      <c r="E21" s="203">
        <v>525</v>
      </c>
      <c r="F21" s="203">
        <v>126</v>
      </c>
      <c r="G21" s="203">
        <v>0</v>
      </c>
      <c r="H21" s="203">
        <v>0</v>
      </c>
      <c r="I21" s="203">
        <v>9</v>
      </c>
      <c r="J21" s="203">
        <v>30</v>
      </c>
      <c r="K21" s="203">
        <v>39</v>
      </c>
      <c r="L21" s="203">
        <f>7+14+11+14+1</f>
        <v>47</v>
      </c>
      <c r="M21" s="203">
        <v>1</v>
      </c>
      <c r="N21" s="203">
        <v>0</v>
      </c>
      <c r="O21" s="203">
        <v>10</v>
      </c>
      <c r="P21" s="203">
        <v>276</v>
      </c>
      <c r="Q21" s="203">
        <v>4</v>
      </c>
      <c r="R21" s="203">
        <v>106</v>
      </c>
      <c r="S21" s="203">
        <v>3</v>
      </c>
    </row>
    <row r="22" spans="1:19" s="200" customFormat="1" ht="24.75" customHeight="1" hidden="1">
      <c r="A22" s="207"/>
      <c r="B22" s="280"/>
      <c r="C22" s="277" t="s">
        <v>297</v>
      </c>
      <c r="D22" s="203"/>
      <c r="E22" s="203">
        <f>SUM(O22:S22)+F22</f>
        <v>595</v>
      </c>
      <c r="F22" s="203">
        <f>SUM(I22:N22)</f>
        <v>215</v>
      </c>
      <c r="G22" s="203">
        <v>0</v>
      </c>
      <c r="H22" s="203">
        <v>0</v>
      </c>
      <c r="I22" s="203">
        <v>18</v>
      </c>
      <c r="J22" s="203">
        <v>78</v>
      </c>
      <c r="K22" s="203">
        <v>47</v>
      </c>
      <c r="L22" s="203">
        <f>16+25+18+13</f>
        <v>72</v>
      </c>
      <c r="M22" s="203">
        <v>0</v>
      </c>
      <c r="N22" s="203">
        <v>0</v>
      </c>
      <c r="O22" s="203">
        <v>6</v>
      </c>
      <c r="P22" s="203">
        <v>253</v>
      </c>
      <c r="Q22" s="203">
        <v>20</v>
      </c>
      <c r="R22" s="203">
        <v>100</v>
      </c>
      <c r="S22" s="203">
        <v>1</v>
      </c>
    </row>
    <row r="23" spans="1:19" s="200" customFormat="1" ht="24.75" customHeight="1" hidden="1">
      <c r="A23" s="207"/>
      <c r="B23" s="280"/>
      <c r="C23" s="277" t="s">
        <v>298</v>
      </c>
      <c r="D23" s="203"/>
      <c r="E23" s="203">
        <v>532</v>
      </c>
      <c r="F23" s="203">
        <f>SUM(I23:N23)</f>
        <v>165</v>
      </c>
      <c r="G23" s="203">
        <v>0</v>
      </c>
      <c r="H23" s="203">
        <v>0</v>
      </c>
      <c r="I23" s="203">
        <v>24</v>
      </c>
      <c r="J23" s="203">
        <f>9+42</f>
        <v>51</v>
      </c>
      <c r="K23" s="203">
        <v>39</v>
      </c>
      <c r="L23" s="203">
        <f>7+14+11+16</f>
        <v>48</v>
      </c>
      <c r="M23" s="203">
        <v>3</v>
      </c>
      <c r="N23" s="203">
        <v>0</v>
      </c>
      <c r="O23" s="203">
        <v>3</v>
      </c>
      <c r="P23" s="203">
        <v>257</v>
      </c>
      <c r="Q23" s="203">
        <v>64</v>
      </c>
      <c r="R23" s="203">
        <v>43</v>
      </c>
      <c r="S23" s="203">
        <v>0</v>
      </c>
    </row>
    <row r="24" spans="1:19" s="200" customFormat="1" ht="24.75" customHeight="1" hidden="1">
      <c r="A24" s="207"/>
      <c r="B24" s="280"/>
      <c r="C24" s="277" t="s">
        <v>288</v>
      </c>
      <c r="D24" s="203"/>
      <c r="E24" s="203">
        <v>554</v>
      </c>
      <c r="F24" s="203">
        <f>SUM(I24:N24)</f>
        <v>156</v>
      </c>
      <c r="G24" s="203">
        <v>0</v>
      </c>
      <c r="H24" s="203">
        <v>0</v>
      </c>
      <c r="I24" s="203">
        <v>18</v>
      </c>
      <c r="J24" s="203">
        <v>47</v>
      </c>
      <c r="K24" s="203">
        <v>34</v>
      </c>
      <c r="L24" s="203">
        <v>56</v>
      </c>
      <c r="M24" s="203">
        <v>1</v>
      </c>
      <c r="N24" s="203">
        <v>0</v>
      </c>
      <c r="O24" s="203">
        <v>4</v>
      </c>
      <c r="P24" s="203">
        <v>324</v>
      </c>
      <c r="Q24" s="203">
        <v>11</v>
      </c>
      <c r="R24" s="203">
        <v>54</v>
      </c>
      <c r="S24" s="203">
        <v>5</v>
      </c>
    </row>
    <row r="25" spans="1:19" s="200" customFormat="1" ht="24.75" customHeight="1" hidden="1">
      <c r="A25" s="207"/>
      <c r="B25" s="280"/>
      <c r="C25" s="277" t="s">
        <v>289</v>
      </c>
      <c r="D25" s="203"/>
      <c r="E25" s="203">
        <v>598</v>
      </c>
      <c r="F25" s="203">
        <v>221</v>
      </c>
      <c r="G25" s="203">
        <v>0</v>
      </c>
      <c r="H25" s="203">
        <v>0</v>
      </c>
      <c r="I25" s="203">
        <v>34</v>
      </c>
      <c r="J25" s="203">
        <v>56</v>
      </c>
      <c r="K25" s="203">
        <v>23</v>
      </c>
      <c r="L25" s="203">
        <v>107</v>
      </c>
      <c r="M25" s="203">
        <v>1</v>
      </c>
      <c r="N25" s="203">
        <v>0</v>
      </c>
      <c r="O25" s="203">
        <v>6</v>
      </c>
      <c r="P25" s="203">
        <v>331</v>
      </c>
      <c r="Q25" s="203">
        <v>3</v>
      </c>
      <c r="R25" s="203">
        <v>37</v>
      </c>
      <c r="S25" s="203">
        <v>0</v>
      </c>
    </row>
    <row r="26" spans="1:19" s="200" customFormat="1" ht="24.75" customHeight="1" hidden="1">
      <c r="A26" s="207"/>
      <c r="B26" s="283" t="s">
        <v>290</v>
      </c>
      <c r="C26" s="275"/>
      <c r="D26" s="203"/>
      <c r="E26" s="203">
        <v>722</v>
      </c>
      <c r="F26" s="203">
        <f aca="true" t="shared" si="0" ref="F26:F34">SUM(I26:N26)</f>
        <v>301</v>
      </c>
      <c r="G26" s="203">
        <v>0</v>
      </c>
      <c r="H26" s="203">
        <v>0</v>
      </c>
      <c r="I26" s="203">
        <v>26</v>
      </c>
      <c r="J26" s="203">
        <f>35+62</f>
        <v>97</v>
      </c>
      <c r="K26" s="203">
        <v>43</v>
      </c>
      <c r="L26" s="203">
        <f>31+36+21+46</f>
        <v>134</v>
      </c>
      <c r="M26" s="203">
        <v>1</v>
      </c>
      <c r="N26" s="203">
        <v>0</v>
      </c>
      <c r="O26" s="203">
        <v>8</v>
      </c>
      <c r="P26" s="203">
        <v>330</v>
      </c>
      <c r="Q26" s="203">
        <v>9</v>
      </c>
      <c r="R26" s="203">
        <v>74</v>
      </c>
      <c r="S26" s="203">
        <v>0</v>
      </c>
    </row>
    <row r="27" spans="1:19" s="200" customFormat="1" ht="24.75" customHeight="1" hidden="1">
      <c r="A27" s="207"/>
      <c r="B27" s="283" t="s">
        <v>299</v>
      </c>
      <c r="C27" s="275"/>
      <c r="D27" s="203"/>
      <c r="E27" s="203">
        <v>685</v>
      </c>
      <c r="F27" s="203">
        <f t="shared" si="0"/>
        <v>268</v>
      </c>
      <c r="G27" s="203">
        <v>0</v>
      </c>
      <c r="H27" s="203">
        <v>0</v>
      </c>
      <c r="I27" s="203">
        <v>24</v>
      </c>
      <c r="J27" s="203">
        <f>18+73</f>
        <v>91</v>
      </c>
      <c r="K27" s="203">
        <v>36</v>
      </c>
      <c r="L27" s="203">
        <f>25+29+19+39+1</f>
        <v>113</v>
      </c>
      <c r="M27" s="203">
        <v>4</v>
      </c>
      <c r="N27" s="203">
        <v>0</v>
      </c>
      <c r="O27" s="203">
        <v>2</v>
      </c>
      <c r="P27" s="203">
        <v>315</v>
      </c>
      <c r="Q27" s="203">
        <v>15</v>
      </c>
      <c r="R27" s="203">
        <v>85</v>
      </c>
      <c r="S27" s="203">
        <v>0</v>
      </c>
    </row>
    <row r="28" spans="1:19" s="200" customFormat="1" ht="24.75" customHeight="1" hidden="1">
      <c r="A28" s="207"/>
      <c r="B28" s="283" t="s">
        <v>291</v>
      </c>
      <c r="C28" s="275"/>
      <c r="D28" s="203"/>
      <c r="E28" s="203">
        <v>647</v>
      </c>
      <c r="F28" s="203">
        <f t="shared" si="0"/>
        <v>333</v>
      </c>
      <c r="G28" s="203">
        <v>0</v>
      </c>
      <c r="H28" s="203">
        <v>0</v>
      </c>
      <c r="I28" s="203">
        <v>34</v>
      </c>
      <c r="J28" s="203">
        <v>85</v>
      </c>
      <c r="K28" s="203">
        <v>45</v>
      </c>
      <c r="L28" s="203">
        <f>37+61+34+32+1</f>
        <v>165</v>
      </c>
      <c r="M28" s="203">
        <v>3</v>
      </c>
      <c r="N28" s="203">
        <v>1</v>
      </c>
      <c r="O28" s="203">
        <v>14</v>
      </c>
      <c r="P28" s="203">
        <v>240</v>
      </c>
      <c r="Q28" s="203">
        <v>4</v>
      </c>
      <c r="R28" s="203">
        <v>53</v>
      </c>
      <c r="S28" s="203">
        <v>3</v>
      </c>
    </row>
    <row r="29" spans="1:19" s="200" customFormat="1" ht="24.75" customHeight="1" hidden="1">
      <c r="A29" s="207"/>
      <c r="B29" s="283" t="s">
        <v>292</v>
      </c>
      <c r="C29" s="275"/>
      <c r="D29" s="203"/>
      <c r="E29" s="203">
        <v>631</v>
      </c>
      <c r="F29" s="203">
        <f t="shared" si="0"/>
        <v>283</v>
      </c>
      <c r="G29" s="203">
        <v>0</v>
      </c>
      <c r="H29" s="203">
        <v>0</v>
      </c>
      <c r="I29" s="203">
        <v>23</v>
      </c>
      <c r="J29" s="203">
        <f>12+53</f>
        <v>65</v>
      </c>
      <c r="K29" s="203">
        <v>37</v>
      </c>
      <c r="L29" s="203">
        <f>46+38+31+36+4</f>
        <v>155</v>
      </c>
      <c r="M29" s="203">
        <v>3</v>
      </c>
      <c r="N29" s="203">
        <v>0</v>
      </c>
      <c r="O29" s="203">
        <v>6</v>
      </c>
      <c r="P29" s="203">
        <v>293</v>
      </c>
      <c r="Q29" s="203">
        <v>0</v>
      </c>
      <c r="R29" s="203">
        <v>47</v>
      </c>
      <c r="S29" s="203">
        <v>2</v>
      </c>
    </row>
    <row r="30" spans="1:19" s="200" customFormat="1" ht="24.75" customHeight="1" hidden="1">
      <c r="A30" s="207"/>
      <c r="B30" s="283" t="s">
        <v>293</v>
      </c>
      <c r="C30" s="275"/>
      <c r="D30" s="203"/>
      <c r="E30" s="287">
        <v>593</v>
      </c>
      <c r="F30" s="287">
        <f t="shared" si="0"/>
        <v>308</v>
      </c>
      <c r="G30" s="203">
        <v>0</v>
      </c>
      <c r="H30" s="203">
        <v>0</v>
      </c>
      <c r="I30" s="287">
        <v>31</v>
      </c>
      <c r="J30" s="287">
        <v>120</v>
      </c>
      <c r="K30" s="287">
        <v>33</v>
      </c>
      <c r="L30" s="287">
        <v>121</v>
      </c>
      <c r="M30" s="287">
        <v>3</v>
      </c>
      <c r="N30" s="287">
        <v>0</v>
      </c>
      <c r="O30" s="287">
        <v>8</v>
      </c>
      <c r="P30" s="287">
        <v>229</v>
      </c>
      <c r="Q30" s="287">
        <v>9</v>
      </c>
      <c r="R30" s="287">
        <v>37</v>
      </c>
      <c r="S30" s="287">
        <v>2</v>
      </c>
    </row>
    <row r="31" spans="1:19" s="200" customFormat="1" ht="24.75" customHeight="1">
      <c r="A31" s="207"/>
      <c r="B31" s="283" t="s">
        <v>305</v>
      </c>
      <c r="C31" s="275"/>
      <c r="D31" s="203"/>
      <c r="E31" s="287">
        <v>580</v>
      </c>
      <c r="F31" s="287">
        <f t="shared" si="0"/>
        <v>258</v>
      </c>
      <c r="G31" s="203">
        <v>0</v>
      </c>
      <c r="H31" s="203">
        <v>0</v>
      </c>
      <c r="I31" s="287">
        <v>43</v>
      </c>
      <c r="J31" s="287">
        <f>11+77</f>
        <v>88</v>
      </c>
      <c r="K31" s="287">
        <v>29</v>
      </c>
      <c r="L31" s="287">
        <f>30+29+27+10</f>
        <v>96</v>
      </c>
      <c r="M31" s="287">
        <v>2</v>
      </c>
      <c r="N31" s="287">
        <v>0</v>
      </c>
      <c r="O31" s="287">
        <v>9</v>
      </c>
      <c r="P31" s="287">
        <v>160</v>
      </c>
      <c r="Q31" s="287">
        <v>5</v>
      </c>
      <c r="R31" s="287">
        <v>145</v>
      </c>
      <c r="S31" s="287">
        <v>3</v>
      </c>
    </row>
    <row r="32" spans="1:19" s="200" customFormat="1" ht="24.75" customHeight="1">
      <c r="A32" s="207"/>
      <c r="B32" s="283" t="s">
        <v>316</v>
      </c>
      <c r="C32" s="275"/>
      <c r="D32" s="203"/>
      <c r="E32" s="287">
        <v>620</v>
      </c>
      <c r="F32" s="287">
        <f t="shared" si="0"/>
        <v>228</v>
      </c>
      <c r="G32" s="203"/>
      <c r="H32" s="203"/>
      <c r="I32" s="287">
        <v>45</v>
      </c>
      <c r="J32" s="287">
        <v>83</v>
      </c>
      <c r="K32" s="287">
        <v>26</v>
      </c>
      <c r="L32" s="287">
        <f>21+22+18+10</f>
        <v>71</v>
      </c>
      <c r="M32" s="287">
        <v>3</v>
      </c>
      <c r="N32" s="287">
        <v>0</v>
      </c>
      <c r="O32" s="287">
        <v>3</v>
      </c>
      <c r="P32" s="287">
        <v>185</v>
      </c>
      <c r="Q32" s="287">
        <v>2</v>
      </c>
      <c r="R32" s="287">
        <v>189</v>
      </c>
      <c r="S32" s="287">
        <v>13</v>
      </c>
    </row>
    <row r="33" spans="1:19" s="200" customFormat="1" ht="24.75" customHeight="1">
      <c r="A33" s="207"/>
      <c r="B33" s="283" t="s">
        <v>323</v>
      </c>
      <c r="C33" s="275"/>
      <c r="D33" s="203"/>
      <c r="E33" s="287">
        <v>534</v>
      </c>
      <c r="F33" s="287">
        <f t="shared" si="0"/>
        <v>268</v>
      </c>
      <c r="G33" s="203">
        <v>0</v>
      </c>
      <c r="H33" s="203">
        <v>0</v>
      </c>
      <c r="I33" s="287">
        <v>28</v>
      </c>
      <c r="J33" s="287">
        <v>103</v>
      </c>
      <c r="K33" s="287">
        <v>27</v>
      </c>
      <c r="L33" s="287">
        <v>108</v>
      </c>
      <c r="M33" s="287">
        <v>2</v>
      </c>
      <c r="N33" s="287">
        <v>0</v>
      </c>
      <c r="O33" s="287">
        <v>7</v>
      </c>
      <c r="P33" s="287">
        <v>127</v>
      </c>
      <c r="Q33" s="287">
        <v>8</v>
      </c>
      <c r="R33" s="287">
        <v>117</v>
      </c>
      <c r="S33" s="287">
        <v>7</v>
      </c>
    </row>
    <row r="34" spans="1:19" s="200" customFormat="1" ht="24.75" customHeight="1">
      <c r="A34" s="207"/>
      <c r="B34" s="283" t="s">
        <v>328</v>
      </c>
      <c r="C34" s="275"/>
      <c r="D34" s="203"/>
      <c r="E34" s="287">
        <f>SUM(F34,O34,O34:S34)</f>
        <v>423</v>
      </c>
      <c r="F34" s="287">
        <f t="shared" si="0"/>
        <v>202</v>
      </c>
      <c r="G34" s="203">
        <v>0</v>
      </c>
      <c r="H34" s="203">
        <v>0</v>
      </c>
      <c r="I34" s="287">
        <v>21</v>
      </c>
      <c r="J34" s="287">
        <v>65</v>
      </c>
      <c r="K34" s="287">
        <v>23</v>
      </c>
      <c r="L34" s="287">
        <v>92</v>
      </c>
      <c r="M34" s="287">
        <v>1</v>
      </c>
      <c r="N34" s="287">
        <v>0</v>
      </c>
      <c r="O34" s="287">
        <v>0</v>
      </c>
      <c r="P34" s="287">
        <v>126</v>
      </c>
      <c r="Q34" s="287">
        <v>5</v>
      </c>
      <c r="R34" s="287">
        <v>89</v>
      </c>
      <c r="S34" s="287">
        <v>1</v>
      </c>
    </row>
    <row r="35" spans="1:19" s="200" customFormat="1" ht="24.75" customHeight="1">
      <c r="A35" s="207"/>
      <c r="B35" s="283" t="s">
        <v>365</v>
      </c>
      <c r="C35" s="275"/>
      <c r="D35" s="203"/>
      <c r="E35" s="340">
        <v>296</v>
      </c>
      <c r="F35" s="340">
        <v>192</v>
      </c>
      <c r="G35" s="341"/>
      <c r="H35" s="341"/>
      <c r="I35" s="340">
        <v>22</v>
      </c>
      <c r="J35" s="340">
        <v>71</v>
      </c>
      <c r="K35" s="340">
        <v>25</v>
      </c>
      <c r="L35" s="340">
        <v>73</v>
      </c>
      <c r="M35" s="340">
        <v>1</v>
      </c>
      <c r="N35" s="340"/>
      <c r="O35" s="340">
        <v>6</v>
      </c>
      <c r="P35" s="340">
        <v>83</v>
      </c>
      <c r="Q35" s="340">
        <v>2</v>
      </c>
      <c r="R35" s="340">
        <v>13</v>
      </c>
      <c r="S35" s="340">
        <v>0</v>
      </c>
    </row>
    <row r="36" spans="1:19" s="200" customFormat="1" ht="24.75" customHeight="1">
      <c r="A36" s="207"/>
      <c r="B36" s="278" t="s">
        <v>146</v>
      </c>
      <c r="C36" s="284"/>
      <c r="D36" s="204"/>
      <c r="E36" s="288"/>
      <c r="F36" s="288"/>
      <c r="G36" s="288"/>
      <c r="H36" s="288"/>
      <c r="I36" s="288"/>
      <c r="J36" s="288"/>
      <c r="K36" s="288"/>
      <c r="L36" s="288"/>
      <c r="M36" s="288"/>
      <c r="N36" s="288"/>
      <c r="O36" s="288"/>
      <c r="P36" s="288"/>
      <c r="Q36" s="288"/>
      <c r="R36" s="288"/>
      <c r="S36" s="288"/>
    </row>
    <row r="37" spans="1:19" s="200" customFormat="1" ht="24.75" customHeight="1" hidden="1">
      <c r="A37" s="207"/>
      <c r="B37" s="280"/>
      <c r="C37" s="281" t="s">
        <v>164</v>
      </c>
      <c r="D37" s="201">
        <v>2</v>
      </c>
      <c r="E37" s="289">
        <v>2</v>
      </c>
      <c r="F37" s="289">
        <v>1</v>
      </c>
      <c r="G37" s="289">
        <v>0</v>
      </c>
      <c r="H37" s="289">
        <v>0</v>
      </c>
      <c r="I37" s="289">
        <v>0</v>
      </c>
      <c r="J37" s="289">
        <v>1</v>
      </c>
      <c r="K37" s="289">
        <v>0</v>
      </c>
      <c r="L37" s="289">
        <v>0</v>
      </c>
      <c r="M37" s="290">
        <v>0</v>
      </c>
      <c r="N37" s="290">
        <v>0</v>
      </c>
      <c r="O37" s="290">
        <v>0</v>
      </c>
      <c r="P37" s="290">
        <v>1</v>
      </c>
      <c r="Q37" s="289">
        <v>0</v>
      </c>
      <c r="R37" s="290">
        <v>0</v>
      </c>
      <c r="S37" s="289">
        <v>0</v>
      </c>
    </row>
    <row r="38" spans="1:19" ht="24.75" customHeight="1" hidden="1">
      <c r="A38" s="207"/>
      <c r="B38" s="280"/>
      <c r="C38" s="281" t="s">
        <v>177</v>
      </c>
      <c r="D38" s="201">
        <v>2</v>
      </c>
      <c r="E38" s="289">
        <v>2</v>
      </c>
      <c r="F38" s="289">
        <v>2</v>
      </c>
      <c r="G38" s="289">
        <v>0</v>
      </c>
      <c r="H38" s="289">
        <v>0</v>
      </c>
      <c r="I38" s="291">
        <v>0</v>
      </c>
      <c r="J38" s="289">
        <v>1</v>
      </c>
      <c r="K38" s="289">
        <v>1</v>
      </c>
      <c r="L38" s="289">
        <v>1</v>
      </c>
      <c r="M38" s="290">
        <v>0</v>
      </c>
      <c r="N38" s="290">
        <v>0</v>
      </c>
      <c r="O38" s="290">
        <v>0</v>
      </c>
      <c r="P38" s="290">
        <v>0</v>
      </c>
      <c r="Q38" s="289">
        <v>0</v>
      </c>
      <c r="R38" s="290">
        <v>0</v>
      </c>
      <c r="S38" s="289">
        <v>0</v>
      </c>
    </row>
    <row r="39" spans="1:19" ht="24.75" customHeight="1" hidden="1">
      <c r="A39" s="207"/>
      <c r="B39" s="280"/>
      <c r="C39" s="282" t="s">
        <v>178</v>
      </c>
      <c r="D39" s="201">
        <v>6</v>
      </c>
      <c r="E39" s="287">
        <v>16</v>
      </c>
      <c r="F39" s="287">
        <v>13</v>
      </c>
      <c r="G39" s="287">
        <v>0</v>
      </c>
      <c r="H39" s="287">
        <v>0</v>
      </c>
      <c r="I39" s="287">
        <v>0</v>
      </c>
      <c r="J39" s="287">
        <v>11</v>
      </c>
      <c r="K39" s="287">
        <v>0</v>
      </c>
      <c r="L39" s="287">
        <v>2</v>
      </c>
      <c r="M39" s="292">
        <v>0</v>
      </c>
      <c r="N39" s="292">
        <v>0</v>
      </c>
      <c r="O39" s="292">
        <v>0</v>
      </c>
      <c r="P39" s="292">
        <v>3</v>
      </c>
      <c r="Q39" s="287">
        <v>0</v>
      </c>
      <c r="R39" s="292">
        <v>0</v>
      </c>
      <c r="S39" s="287">
        <v>0</v>
      </c>
    </row>
    <row r="40" spans="1:19" ht="24.75" customHeight="1" hidden="1">
      <c r="A40" s="207"/>
      <c r="B40" s="280"/>
      <c r="C40" s="277" t="s">
        <v>294</v>
      </c>
      <c r="D40" s="203">
        <v>6</v>
      </c>
      <c r="E40" s="287">
        <v>264</v>
      </c>
      <c r="F40" s="287">
        <v>258</v>
      </c>
      <c r="G40" s="287">
        <v>0</v>
      </c>
      <c r="H40" s="287">
        <v>0</v>
      </c>
      <c r="I40" s="287">
        <v>0</v>
      </c>
      <c r="J40" s="287">
        <v>246</v>
      </c>
      <c r="K40" s="287">
        <v>11</v>
      </c>
      <c r="L40" s="287">
        <v>1</v>
      </c>
      <c r="M40" s="287">
        <v>0</v>
      </c>
      <c r="N40" s="287">
        <v>0</v>
      </c>
      <c r="O40" s="287">
        <v>0</v>
      </c>
      <c r="P40" s="287">
        <v>4</v>
      </c>
      <c r="Q40" s="287">
        <v>0</v>
      </c>
      <c r="R40" s="287">
        <v>2</v>
      </c>
      <c r="S40" s="287">
        <v>0</v>
      </c>
    </row>
    <row r="41" spans="1:19" ht="24.75" customHeight="1" hidden="1">
      <c r="A41" s="207"/>
      <c r="B41" s="280"/>
      <c r="C41" s="277" t="s">
        <v>295</v>
      </c>
      <c r="D41" s="203">
        <v>14</v>
      </c>
      <c r="E41" s="287">
        <v>23</v>
      </c>
      <c r="F41" s="287">
        <v>4</v>
      </c>
      <c r="G41" s="287">
        <v>0</v>
      </c>
      <c r="H41" s="287">
        <v>0</v>
      </c>
      <c r="I41" s="287">
        <v>0</v>
      </c>
      <c r="J41" s="287">
        <v>2</v>
      </c>
      <c r="K41" s="287">
        <v>0</v>
      </c>
      <c r="L41" s="287">
        <v>2</v>
      </c>
      <c r="M41" s="287">
        <v>0</v>
      </c>
      <c r="N41" s="287">
        <v>0</v>
      </c>
      <c r="O41" s="287">
        <v>1</v>
      </c>
      <c r="P41" s="287">
        <v>15</v>
      </c>
      <c r="Q41" s="287">
        <v>2</v>
      </c>
      <c r="R41" s="287">
        <v>1</v>
      </c>
      <c r="S41" s="287">
        <v>0</v>
      </c>
    </row>
    <row r="42" spans="1:19" s="206" customFormat="1" ht="24.75" customHeight="1" hidden="1">
      <c r="A42" s="207"/>
      <c r="B42" s="280"/>
      <c r="C42" s="277" t="s">
        <v>296</v>
      </c>
      <c r="D42" s="203">
        <v>14</v>
      </c>
      <c r="E42" s="287">
        <v>15</v>
      </c>
      <c r="F42" s="287">
        <v>10</v>
      </c>
      <c r="G42" s="287">
        <v>0</v>
      </c>
      <c r="H42" s="287">
        <v>0</v>
      </c>
      <c r="I42" s="287">
        <v>0</v>
      </c>
      <c r="J42" s="287">
        <v>1</v>
      </c>
      <c r="K42" s="287">
        <v>5</v>
      </c>
      <c r="L42" s="287">
        <v>4</v>
      </c>
      <c r="M42" s="287">
        <v>0</v>
      </c>
      <c r="N42" s="287">
        <v>0</v>
      </c>
      <c r="O42" s="287">
        <v>0</v>
      </c>
      <c r="P42" s="287">
        <v>5</v>
      </c>
      <c r="Q42" s="287">
        <v>0</v>
      </c>
      <c r="R42" s="287">
        <v>0</v>
      </c>
      <c r="S42" s="287">
        <v>0</v>
      </c>
    </row>
    <row r="43" spans="1:19" s="206" customFormat="1" ht="24.75" customHeight="1" hidden="1">
      <c r="A43" s="207"/>
      <c r="B43" s="280"/>
      <c r="C43" s="277" t="s">
        <v>297</v>
      </c>
      <c r="D43" s="203"/>
      <c r="E43" s="287">
        <f>SUM(O43:S43)+F43</f>
        <v>61</v>
      </c>
      <c r="F43" s="287">
        <f>SUM(I43:N43)</f>
        <v>51</v>
      </c>
      <c r="G43" s="287">
        <v>0</v>
      </c>
      <c r="H43" s="287">
        <v>0</v>
      </c>
      <c r="I43" s="287">
        <v>0</v>
      </c>
      <c r="J43" s="287">
        <v>39</v>
      </c>
      <c r="K43" s="287">
        <v>10</v>
      </c>
      <c r="L43" s="287">
        <v>2</v>
      </c>
      <c r="M43" s="287">
        <v>0</v>
      </c>
      <c r="N43" s="287">
        <v>0</v>
      </c>
      <c r="O43" s="287">
        <v>1</v>
      </c>
      <c r="P43" s="287">
        <v>8</v>
      </c>
      <c r="Q43" s="287">
        <v>0</v>
      </c>
      <c r="R43" s="287">
        <v>1</v>
      </c>
      <c r="S43" s="287">
        <v>0</v>
      </c>
    </row>
    <row r="44" spans="1:19" s="206" customFormat="1" ht="24.75" customHeight="1" hidden="1">
      <c r="A44" s="207"/>
      <c r="B44" s="280"/>
      <c r="C44" s="277" t="s">
        <v>211</v>
      </c>
      <c r="D44" s="203"/>
      <c r="E44" s="287">
        <f>SUM(O44:S44)+F44</f>
        <v>19</v>
      </c>
      <c r="F44" s="287">
        <f>SUM(I44:N44)</f>
        <v>8</v>
      </c>
      <c r="G44" s="287">
        <v>0</v>
      </c>
      <c r="H44" s="287">
        <v>0</v>
      </c>
      <c r="I44" s="287">
        <v>0</v>
      </c>
      <c r="J44" s="287">
        <v>5</v>
      </c>
      <c r="K44" s="287">
        <v>2</v>
      </c>
      <c r="L44" s="287">
        <v>1</v>
      </c>
      <c r="M44" s="287">
        <v>0</v>
      </c>
      <c r="N44" s="287">
        <v>0</v>
      </c>
      <c r="O44" s="287">
        <v>1</v>
      </c>
      <c r="P44" s="287">
        <v>10</v>
      </c>
      <c r="Q44" s="287">
        <v>0</v>
      </c>
      <c r="R44" s="287">
        <v>0</v>
      </c>
      <c r="S44" s="287">
        <v>0</v>
      </c>
    </row>
    <row r="45" spans="1:19" s="206" customFormat="1" ht="24.75" customHeight="1" hidden="1">
      <c r="A45" s="207"/>
      <c r="B45" s="280"/>
      <c r="C45" s="277" t="s">
        <v>288</v>
      </c>
      <c r="D45" s="203"/>
      <c r="E45" s="287">
        <f>SUM(O45:S45)+F45</f>
        <v>14</v>
      </c>
      <c r="F45" s="287">
        <f>SUM(I45:N45)</f>
        <v>5</v>
      </c>
      <c r="G45" s="287">
        <v>0</v>
      </c>
      <c r="H45" s="287">
        <v>0</v>
      </c>
      <c r="I45" s="287">
        <v>0</v>
      </c>
      <c r="J45" s="287">
        <v>2</v>
      </c>
      <c r="K45" s="287">
        <v>1</v>
      </c>
      <c r="L45" s="287">
        <v>2</v>
      </c>
      <c r="M45" s="287">
        <v>0</v>
      </c>
      <c r="N45" s="287">
        <v>0</v>
      </c>
      <c r="O45" s="287">
        <v>0</v>
      </c>
      <c r="P45" s="287">
        <v>9</v>
      </c>
      <c r="Q45" s="287">
        <v>0</v>
      </c>
      <c r="R45" s="287">
        <v>0</v>
      </c>
      <c r="S45" s="287">
        <v>0</v>
      </c>
    </row>
    <row r="46" spans="1:19" s="206" customFormat="1" ht="24.75" customHeight="1" hidden="1">
      <c r="A46" s="207"/>
      <c r="B46" s="280"/>
      <c r="C46" s="277" t="s">
        <v>245</v>
      </c>
      <c r="D46" s="203"/>
      <c r="E46" s="287">
        <v>15</v>
      </c>
      <c r="F46" s="287">
        <v>7</v>
      </c>
      <c r="G46" s="287">
        <v>0</v>
      </c>
      <c r="H46" s="287">
        <v>0</v>
      </c>
      <c r="I46" s="287">
        <v>0</v>
      </c>
      <c r="J46" s="287">
        <v>6</v>
      </c>
      <c r="K46" s="287">
        <v>0</v>
      </c>
      <c r="L46" s="287">
        <v>1</v>
      </c>
      <c r="M46" s="287">
        <v>0</v>
      </c>
      <c r="N46" s="287">
        <v>0</v>
      </c>
      <c r="O46" s="287">
        <v>2</v>
      </c>
      <c r="P46" s="287">
        <v>6</v>
      </c>
      <c r="Q46" s="287">
        <v>0</v>
      </c>
      <c r="R46" s="287">
        <v>0</v>
      </c>
      <c r="S46" s="287">
        <v>0</v>
      </c>
    </row>
    <row r="47" spans="1:19" s="206" customFormat="1" ht="24.75" customHeight="1" hidden="1">
      <c r="A47" s="207"/>
      <c r="B47" s="283" t="s">
        <v>300</v>
      </c>
      <c r="C47" s="275"/>
      <c r="D47" s="203"/>
      <c r="E47" s="287">
        <v>30</v>
      </c>
      <c r="F47" s="287">
        <f aca="true" t="shared" si="1" ref="F47:F54">SUM(I47:N47)</f>
        <v>6</v>
      </c>
      <c r="G47" s="287">
        <v>0</v>
      </c>
      <c r="H47" s="287">
        <v>0</v>
      </c>
      <c r="I47" s="287">
        <v>1</v>
      </c>
      <c r="J47" s="287">
        <v>2</v>
      </c>
      <c r="K47" s="287">
        <v>0</v>
      </c>
      <c r="L47" s="287">
        <v>3</v>
      </c>
      <c r="M47" s="287">
        <v>0</v>
      </c>
      <c r="N47" s="287">
        <v>0</v>
      </c>
      <c r="O47" s="287">
        <v>1</v>
      </c>
      <c r="P47" s="287">
        <v>22</v>
      </c>
      <c r="Q47" s="287">
        <v>0</v>
      </c>
      <c r="R47" s="287">
        <v>1</v>
      </c>
      <c r="S47" s="287">
        <v>0</v>
      </c>
    </row>
    <row r="48" spans="1:19" s="206" customFormat="1" ht="24.75" customHeight="1" hidden="1">
      <c r="A48" s="207"/>
      <c r="B48" s="283" t="s">
        <v>250</v>
      </c>
      <c r="C48" s="275"/>
      <c r="D48" s="203"/>
      <c r="E48" s="287">
        <v>16</v>
      </c>
      <c r="F48" s="287">
        <f t="shared" si="1"/>
        <v>8</v>
      </c>
      <c r="G48" s="287">
        <v>0</v>
      </c>
      <c r="H48" s="287">
        <v>0</v>
      </c>
      <c r="I48" s="287">
        <v>1</v>
      </c>
      <c r="J48" s="287">
        <v>4</v>
      </c>
      <c r="K48" s="287">
        <v>2</v>
      </c>
      <c r="L48" s="287">
        <v>1</v>
      </c>
      <c r="M48" s="287">
        <v>0</v>
      </c>
      <c r="N48" s="287">
        <v>0</v>
      </c>
      <c r="O48" s="287">
        <v>0</v>
      </c>
      <c r="P48" s="287">
        <v>8</v>
      </c>
      <c r="Q48" s="287">
        <v>0</v>
      </c>
      <c r="R48" s="287">
        <v>0</v>
      </c>
      <c r="S48" s="287">
        <v>0</v>
      </c>
    </row>
    <row r="49" spans="1:19" s="206" customFormat="1" ht="24.75" customHeight="1" hidden="1">
      <c r="A49" s="207"/>
      <c r="B49" s="283" t="s">
        <v>291</v>
      </c>
      <c r="C49" s="275"/>
      <c r="D49" s="203"/>
      <c r="E49" s="287">
        <v>28</v>
      </c>
      <c r="F49" s="287">
        <f t="shared" si="1"/>
        <v>15</v>
      </c>
      <c r="G49" s="287">
        <v>0</v>
      </c>
      <c r="H49" s="287">
        <v>0</v>
      </c>
      <c r="I49" s="287">
        <v>0</v>
      </c>
      <c r="J49" s="287">
        <v>8</v>
      </c>
      <c r="K49" s="287">
        <v>1</v>
      </c>
      <c r="L49" s="287">
        <v>6</v>
      </c>
      <c r="M49" s="287">
        <v>0</v>
      </c>
      <c r="N49" s="287">
        <v>0</v>
      </c>
      <c r="O49" s="287">
        <v>8</v>
      </c>
      <c r="P49" s="287">
        <v>5</v>
      </c>
      <c r="Q49" s="287">
        <v>0</v>
      </c>
      <c r="R49" s="287">
        <v>0</v>
      </c>
      <c r="S49" s="287">
        <v>0</v>
      </c>
    </row>
    <row r="50" spans="1:19" s="206" customFormat="1" ht="24.75" customHeight="1" hidden="1">
      <c r="A50" s="207"/>
      <c r="B50" s="283" t="s">
        <v>301</v>
      </c>
      <c r="C50" s="275"/>
      <c r="D50" s="203"/>
      <c r="E50" s="287">
        <v>20</v>
      </c>
      <c r="F50" s="287">
        <f t="shared" si="1"/>
        <v>13</v>
      </c>
      <c r="G50" s="287">
        <v>0</v>
      </c>
      <c r="H50" s="287">
        <v>0</v>
      </c>
      <c r="I50" s="287">
        <v>0</v>
      </c>
      <c r="J50" s="287">
        <v>9</v>
      </c>
      <c r="K50" s="287">
        <v>3</v>
      </c>
      <c r="L50" s="287">
        <v>1</v>
      </c>
      <c r="M50" s="287">
        <v>0</v>
      </c>
      <c r="N50" s="287">
        <v>0</v>
      </c>
      <c r="O50" s="287">
        <v>2</v>
      </c>
      <c r="P50" s="287">
        <v>5</v>
      </c>
      <c r="Q50" s="287">
        <v>0</v>
      </c>
      <c r="R50" s="287">
        <v>0</v>
      </c>
      <c r="S50" s="287">
        <v>0</v>
      </c>
    </row>
    <row r="51" spans="1:19" s="206" customFormat="1" ht="24.75" customHeight="1" hidden="1">
      <c r="A51" s="207"/>
      <c r="B51" s="283" t="s">
        <v>277</v>
      </c>
      <c r="C51" s="275"/>
      <c r="D51" s="203"/>
      <c r="E51" s="287">
        <v>41</v>
      </c>
      <c r="F51" s="287">
        <f t="shared" si="1"/>
        <v>23</v>
      </c>
      <c r="G51" s="287">
        <v>0</v>
      </c>
      <c r="H51" s="287">
        <v>0</v>
      </c>
      <c r="I51" s="287">
        <v>1</v>
      </c>
      <c r="J51" s="287">
        <v>18</v>
      </c>
      <c r="K51" s="287">
        <v>0</v>
      </c>
      <c r="L51" s="287">
        <v>4</v>
      </c>
      <c r="M51" s="287">
        <v>0</v>
      </c>
      <c r="N51" s="287">
        <v>0</v>
      </c>
      <c r="O51" s="287">
        <v>1</v>
      </c>
      <c r="P51" s="287">
        <v>16</v>
      </c>
      <c r="Q51" s="287">
        <v>1</v>
      </c>
      <c r="R51" s="287">
        <v>0</v>
      </c>
      <c r="S51" s="287">
        <v>0</v>
      </c>
    </row>
    <row r="52" spans="1:19" s="206" customFormat="1" ht="24.75" customHeight="1">
      <c r="A52" s="207"/>
      <c r="B52" s="283" t="s">
        <v>306</v>
      </c>
      <c r="C52" s="275"/>
      <c r="D52" s="203"/>
      <c r="E52" s="287">
        <v>23</v>
      </c>
      <c r="F52" s="287">
        <f t="shared" si="1"/>
        <v>12</v>
      </c>
      <c r="G52" s="287">
        <v>0</v>
      </c>
      <c r="H52" s="287">
        <v>0</v>
      </c>
      <c r="I52" s="287">
        <v>2</v>
      </c>
      <c r="J52" s="287">
        <v>6</v>
      </c>
      <c r="K52" s="287">
        <v>1</v>
      </c>
      <c r="L52" s="287">
        <v>3</v>
      </c>
      <c r="M52" s="287">
        <v>0</v>
      </c>
      <c r="N52" s="287">
        <v>0</v>
      </c>
      <c r="O52" s="287">
        <v>4</v>
      </c>
      <c r="P52" s="287">
        <v>6</v>
      </c>
      <c r="Q52" s="287">
        <v>0</v>
      </c>
      <c r="R52" s="287">
        <v>0</v>
      </c>
      <c r="S52" s="287">
        <v>1</v>
      </c>
    </row>
    <row r="53" spans="1:19" s="206" customFormat="1" ht="24.75" customHeight="1">
      <c r="A53" s="207"/>
      <c r="B53" s="301" t="s">
        <v>317</v>
      </c>
      <c r="C53" s="275"/>
      <c r="D53" s="302"/>
      <c r="E53" s="303">
        <v>17</v>
      </c>
      <c r="F53" s="287">
        <f t="shared" si="1"/>
        <v>7</v>
      </c>
      <c r="G53" s="287">
        <v>0</v>
      </c>
      <c r="H53" s="287">
        <v>0</v>
      </c>
      <c r="I53" s="287">
        <v>0</v>
      </c>
      <c r="J53" s="287">
        <v>5</v>
      </c>
      <c r="K53" s="287">
        <v>0</v>
      </c>
      <c r="L53" s="287">
        <v>2</v>
      </c>
      <c r="M53" s="287">
        <v>0</v>
      </c>
      <c r="N53" s="287">
        <v>0</v>
      </c>
      <c r="O53" s="287">
        <v>0</v>
      </c>
      <c r="P53" s="287">
        <v>9</v>
      </c>
      <c r="Q53" s="287">
        <v>0</v>
      </c>
      <c r="R53" s="287">
        <v>1</v>
      </c>
      <c r="S53" s="287">
        <v>0</v>
      </c>
    </row>
    <row r="54" spans="1:19" s="206" customFormat="1" ht="24.75" customHeight="1">
      <c r="A54" s="207"/>
      <c r="B54" s="301" t="s">
        <v>322</v>
      </c>
      <c r="C54" s="275"/>
      <c r="E54" s="303">
        <v>16</v>
      </c>
      <c r="F54" s="287">
        <f t="shared" si="1"/>
        <v>11</v>
      </c>
      <c r="G54" s="287">
        <v>0</v>
      </c>
      <c r="H54" s="287">
        <v>0</v>
      </c>
      <c r="I54" s="287">
        <v>1</v>
      </c>
      <c r="J54" s="287">
        <v>6</v>
      </c>
      <c r="K54" s="287">
        <v>2</v>
      </c>
      <c r="L54" s="287">
        <v>2</v>
      </c>
      <c r="M54" s="287">
        <v>0</v>
      </c>
      <c r="N54" s="287">
        <v>0</v>
      </c>
      <c r="O54" s="287">
        <v>1</v>
      </c>
      <c r="P54" s="287">
        <v>4</v>
      </c>
      <c r="Q54" s="287">
        <v>0</v>
      </c>
      <c r="R54" s="287">
        <v>0</v>
      </c>
      <c r="S54" s="287">
        <v>0</v>
      </c>
    </row>
    <row r="55" spans="1:19" s="206" customFormat="1" ht="24.75" customHeight="1">
      <c r="A55" s="207"/>
      <c r="B55" s="301" t="s">
        <v>364</v>
      </c>
      <c r="C55" s="275"/>
      <c r="E55" s="287">
        <v>15</v>
      </c>
      <c r="F55" s="287">
        <v>13</v>
      </c>
      <c r="G55" s="287">
        <v>0</v>
      </c>
      <c r="H55" s="287">
        <v>0</v>
      </c>
      <c r="I55" s="287">
        <v>1</v>
      </c>
      <c r="J55" s="287">
        <v>2</v>
      </c>
      <c r="K55" s="287">
        <v>2</v>
      </c>
      <c r="L55" s="287">
        <v>7</v>
      </c>
      <c r="M55" s="287">
        <v>1</v>
      </c>
      <c r="N55" s="287">
        <v>0</v>
      </c>
      <c r="O55" s="287">
        <v>0</v>
      </c>
      <c r="P55" s="287">
        <v>2</v>
      </c>
      <c r="Q55" s="287">
        <v>0</v>
      </c>
      <c r="R55" s="287">
        <v>0</v>
      </c>
      <c r="S55" s="287">
        <v>0</v>
      </c>
    </row>
    <row r="56" spans="1:19" s="206" customFormat="1" ht="24.75" customHeight="1" thickBot="1">
      <c r="A56" s="328"/>
      <c r="B56" s="329" t="s">
        <v>366</v>
      </c>
      <c r="C56" s="330"/>
      <c r="D56" s="331"/>
      <c r="E56" s="339">
        <v>18</v>
      </c>
      <c r="F56" s="339">
        <v>12</v>
      </c>
      <c r="G56" s="339">
        <v>0</v>
      </c>
      <c r="H56" s="339">
        <v>0</v>
      </c>
      <c r="I56" s="339">
        <v>0</v>
      </c>
      <c r="J56" s="339">
        <v>7</v>
      </c>
      <c r="K56" s="339">
        <v>2</v>
      </c>
      <c r="L56" s="339">
        <v>3</v>
      </c>
      <c r="M56" s="339">
        <v>1</v>
      </c>
      <c r="N56" s="339">
        <v>0</v>
      </c>
      <c r="O56" s="339">
        <v>5</v>
      </c>
      <c r="P56" s="339">
        <v>1</v>
      </c>
      <c r="Q56" s="339">
        <v>0</v>
      </c>
      <c r="R56" s="339">
        <v>0</v>
      </c>
      <c r="S56" s="339">
        <v>0</v>
      </c>
    </row>
    <row r="57" spans="1:15" s="69" customFormat="1" ht="16.5" customHeight="1">
      <c r="A57" s="22" t="s">
        <v>430</v>
      </c>
      <c r="B57" s="22"/>
      <c r="C57" s="22"/>
      <c r="D57" s="22"/>
      <c r="E57" s="22"/>
      <c r="F57" s="22"/>
      <c r="G57" s="22"/>
      <c r="H57" s="22"/>
      <c r="I57" s="22"/>
      <c r="J57" s="22"/>
      <c r="K57" s="22"/>
      <c r="L57" s="22"/>
      <c r="M57" s="22"/>
      <c r="N57" s="405"/>
      <c r="O57" s="22"/>
    </row>
    <row r="58" spans="1:15" ht="16.5">
      <c r="A58" s="406" t="s">
        <v>431</v>
      </c>
      <c r="B58" s="406"/>
      <c r="C58" s="406"/>
      <c r="D58" s="406"/>
      <c r="E58" s="406"/>
      <c r="F58" s="406"/>
      <c r="G58" s="406"/>
      <c r="H58" s="406"/>
      <c r="I58" s="406"/>
      <c r="J58" s="406"/>
      <c r="K58" s="406"/>
      <c r="L58" s="406"/>
      <c r="M58" s="406"/>
      <c r="N58" s="406"/>
      <c r="O58" s="406"/>
    </row>
    <row r="59" spans="1:15" ht="16.5">
      <c r="A59" s="406" t="s">
        <v>429</v>
      </c>
      <c r="B59" s="406"/>
      <c r="C59" s="406"/>
      <c r="D59" s="406"/>
      <c r="E59" s="406"/>
      <c r="F59" s="406"/>
      <c r="G59" s="406"/>
      <c r="H59" s="406"/>
      <c r="I59" s="406"/>
      <c r="J59" s="406"/>
      <c r="K59" s="406"/>
      <c r="L59" s="406"/>
      <c r="M59" s="406"/>
      <c r="N59" s="406"/>
      <c r="O59" s="406"/>
    </row>
    <row r="63" ht="16.5" hidden="1"/>
    <row r="76" ht="16.5">
      <c r="I76" s="205">
        <v>0</v>
      </c>
    </row>
    <row r="84" ht="16.5" hidden="1"/>
    <row r="96" ht="16.5">
      <c r="I96" s="205">
        <v>0</v>
      </c>
    </row>
    <row r="105" ht="0.75" customHeight="1"/>
    <row r="110" ht="16.5">
      <c r="B110" s="205" t="s">
        <v>359</v>
      </c>
    </row>
  </sheetData>
  <sheetProtection/>
  <mergeCells count="2">
    <mergeCell ref="A1:S1"/>
    <mergeCell ref="A9:C9"/>
  </mergeCells>
  <printOptions horizontalCentered="1"/>
  <pageMargins left="0.35433070866141736" right="0.35433070866141736" top="0.3937007874015748" bottom="0.3937007874015748" header="0.35433070866141736"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mrhuang</dc:creator>
  <cp:keywords/>
  <dc:description/>
  <cp:lastModifiedBy>陳志輝</cp:lastModifiedBy>
  <cp:lastPrinted>2021-04-30T01:00:45Z</cp:lastPrinted>
  <dcterms:created xsi:type="dcterms:W3CDTF">2004-02-27T01:27:37Z</dcterms:created>
  <dcterms:modified xsi:type="dcterms:W3CDTF">2021-05-20T06:46:58Z</dcterms:modified>
  <cp:category/>
  <cp:version/>
  <cp:contentType/>
  <cp:contentStatus/>
</cp:coreProperties>
</file>